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192.168.0.11\work\Skripka Sergey\Temp\Comp\Disk C\price\"/>
    </mc:Choice>
  </mc:AlternateContent>
  <bookViews>
    <workbookView xWindow="0" yWindow="0" windowWidth="24345" windowHeight="6735" tabRatio="703"/>
  </bookViews>
  <sheets>
    <sheet name="IPA" sheetId="4" r:id="rId1"/>
    <sheet name="Лист1" sheetId="5" r:id="rId2"/>
  </sheets>
  <definedNames>
    <definedName name="Срез_Тип">#N/A</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4" l="1"/>
  <c r="E75" i="4" l="1"/>
  <c r="E59" i="4"/>
  <c r="E60" i="4"/>
  <c r="E61" i="4"/>
  <c r="E30" i="4" l="1"/>
  <c r="C90" i="4"/>
  <c r="C78" i="4"/>
  <c r="B59" i="4"/>
  <c r="C32" i="4"/>
  <c r="C16" i="4"/>
  <c r="C73" i="4"/>
  <c r="C60" i="4"/>
  <c r="C52" i="4"/>
  <c r="C26" i="4"/>
  <c r="C17" i="4"/>
  <c r="C46" i="4"/>
  <c r="C9" i="4"/>
  <c r="C68" i="4"/>
  <c r="C23" i="4"/>
  <c r="C81" i="4"/>
  <c r="B60" i="4"/>
  <c r="C30" i="4"/>
  <c r="C70" i="4"/>
  <c r="C25" i="4"/>
  <c r="C65" i="4"/>
  <c r="C50" i="4"/>
  <c r="C31" i="4"/>
  <c r="C14" i="4"/>
  <c r="C71" i="4"/>
  <c r="C58" i="4"/>
  <c r="C45" i="4"/>
  <c r="C24" i="4"/>
  <c r="C72" i="4"/>
  <c r="C39" i="4"/>
  <c r="C15" i="4"/>
  <c r="C61" i="4"/>
  <c r="C10" i="4"/>
  <c r="C79" i="4"/>
  <c r="C49" i="4"/>
  <c r="C19" i="4"/>
  <c r="C59" i="4"/>
  <c r="C63" i="4"/>
  <c r="C48" i="4"/>
  <c r="C29" i="4"/>
  <c r="C7" i="4"/>
  <c r="C69" i="4"/>
  <c r="C56" i="4"/>
  <c r="C38" i="4"/>
  <c r="C22" i="4"/>
  <c r="C57" i="4"/>
  <c r="C27" i="4"/>
  <c r="C5" i="4"/>
  <c r="C55" i="4"/>
  <c r="C89" i="4"/>
  <c r="C77" i="4"/>
  <c r="C42" i="4"/>
  <c r="C13" i="4"/>
  <c r="C44" i="4"/>
  <c r="C80" i="4"/>
  <c r="B61" i="4"/>
  <c r="C41" i="4"/>
  <c r="C18" i="4"/>
  <c r="C75" i="4"/>
  <c r="C67" i="4"/>
  <c r="C54" i="4"/>
  <c r="C36" i="4"/>
  <c r="C11" i="4"/>
  <c r="C53" i="4"/>
  <c r="C21" i="4"/>
  <c r="C74" i="4"/>
  <c r="C35" i="4"/>
  <c r="C86" i="4"/>
  <c r="C33" i="4"/>
  <c r="C6" i="4"/>
  <c r="C87" i="4"/>
  <c r="C85" i="4"/>
  <c r="C64" i="4"/>
  <c r="C37" i="4"/>
  <c r="E21" i="4" l="1"/>
  <c r="E22" i="4"/>
  <c r="E33" i="4" l="1"/>
  <c r="E85" i="4" l="1"/>
  <c r="E86" i="4"/>
  <c r="E87" i="4"/>
  <c r="E89" i="4"/>
  <c r="E90" i="4"/>
  <c r="E72" i="4" l="1"/>
  <c r="E26" i="4" l="1"/>
  <c r="E84" i="4" l="1"/>
  <c r="E83" i="4"/>
  <c r="E82" i="4"/>
  <c r="E81" i="4"/>
  <c r="E80" i="4"/>
  <c r="E79" i="4"/>
  <c r="E78" i="4"/>
  <c r="E77" i="4"/>
  <c r="E76" i="4"/>
  <c r="E74" i="4"/>
  <c r="E73" i="4"/>
  <c r="E71" i="4"/>
  <c r="E70" i="4"/>
  <c r="E69" i="4"/>
  <c r="E68" i="4"/>
  <c r="E67" i="4"/>
  <c r="E66" i="4"/>
  <c r="E65" i="4"/>
  <c r="E64" i="4"/>
  <c r="E63" i="4"/>
  <c r="E62" i="4"/>
  <c r="E58" i="4"/>
  <c r="E57" i="4"/>
  <c r="E56" i="4"/>
  <c r="E55" i="4"/>
  <c r="E54" i="4"/>
  <c r="E53" i="4"/>
  <c r="E52" i="4"/>
  <c r="E51" i="4"/>
  <c r="E47" i="4"/>
  <c r="E46" i="4"/>
  <c r="E45" i="4"/>
  <c r="E44" i="4"/>
  <c r="E43" i="4"/>
  <c r="E42" i="4"/>
  <c r="E41" i="4"/>
  <c r="E40" i="4"/>
  <c r="E39" i="4"/>
  <c r="E38" i="4"/>
  <c r="E37" i="4"/>
  <c r="E36" i="4"/>
  <c r="E35" i="4"/>
  <c r="E34" i="4"/>
  <c r="E32" i="4"/>
  <c r="E31" i="4"/>
  <c r="E29" i="4"/>
  <c r="E28" i="4"/>
  <c r="E27" i="4"/>
  <c r="E25" i="4"/>
  <c r="E24" i="4"/>
  <c r="E23" i="4"/>
  <c r="E20" i="4"/>
  <c r="E19" i="4"/>
  <c r="E18" i="4"/>
  <c r="E17" i="4"/>
  <c r="E16" i="4"/>
  <c r="E15" i="4"/>
  <c r="E14" i="4"/>
  <c r="E13" i="4"/>
  <c r="E12" i="4"/>
  <c r="E11" i="4"/>
  <c r="E10" i="4"/>
  <c r="E9" i="4"/>
  <c r="E8" i="4"/>
  <c r="E7" i="4"/>
  <c r="E6" i="4"/>
  <c r="E5" i="4"/>
  <c r="E4" i="4"/>
</calcChain>
</file>

<file path=xl/sharedStrings.xml><?xml version="1.0" encoding="utf-8"?>
<sst xmlns="http://schemas.openxmlformats.org/spreadsheetml/2006/main" count="183" uniqueCount="112">
  <si>
    <t>Тип</t>
  </si>
  <si>
    <t>01 Микширующие усилители</t>
  </si>
  <si>
    <t>IPA-40</t>
  </si>
  <si>
    <t>IPA-240</t>
  </si>
  <si>
    <t>АМС MA 120</t>
  </si>
  <si>
    <t>04 Зональный микширующий усилитель</t>
  </si>
  <si>
    <t>IPA-Z120</t>
  </si>
  <si>
    <t>IPA-Z120А</t>
  </si>
  <si>
    <t>АМС MMA 60</t>
  </si>
  <si>
    <t>07 Микшеры и предусилители</t>
  </si>
  <si>
    <t>IPA-SMP</t>
  </si>
  <si>
    <t>IPA-PA</t>
  </si>
  <si>
    <t>IPA-SMP2</t>
  </si>
  <si>
    <t>IPA-P8C</t>
  </si>
  <si>
    <t>IPA-6PAR</t>
  </si>
  <si>
    <t>IPM-RP01</t>
  </si>
  <si>
    <t>IPM-RP6</t>
  </si>
  <si>
    <t>10 Усилители мощности</t>
  </si>
  <si>
    <t>IPA-1C240</t>
  </si>
  <si>
    <t>IPA-1C500</t>
  </si>
  <si>
    <t>IPA-1C650</t>
  </si>
  <si>
    <t>IPA-2C240</t>
  </si>
  <si>
    <t>IPA-2C500</t>
  </si>
  <si>
    <t>IPA-4C120</t>
  </si>
  <si>
    <t>IPA-4C240</t>
  </si>
  <si>
    <t>13 Микширующие усилители с аудио источником</t>
  </si>
  <si>
    <t>IPA-Z240U</t>
  </si>
  <si>
    <t>IPA-120UMT</t>
  </si>
  <si>
    <t>IPA-Z240MT</t>
  </si>
  <si>
    <t>02 Источники звука</t>
  </si>
  <si>
    <t>АМС CD5</t>
  </si>
  <si>
    <t>АМС TM4</t>
  </si>
  <si>
    <t>АМС FM/AM/CD</t>
  </si>
  <si>
    <t>АМС USB/SD</t>
  </si>
  <si>
    <t>АМС MP 04</t>
  </si>
  <si>
    <t>05 Настольные конденсаторные микрофоны</t>
  </si>
  <si>
    <t>IPM-T2</t>
  </si>
  <si>
    <t>IPM-T3</t>
  </si>
  <si>
    <t>08 Регуляторы громкости</t>
  </si>
  <si>
    <t>VC 60RX</t>
  </si>
  <si>
    <t>IPV-C200</t>
  </si>
  <si>
    <t>IPV-АВ</t>
  </si>
  <si>
    <t>11 Сетевая аудио система</t>
  </si>
  <si>
    <t>IPN-20PAS</t>
  </si>
  <si>
    <t>IPN-848WSA</t>
  </si>
  <si>
    <t>IPN-RP7</t>
  </si>
  <si>
    <t>14 Система речевого оповещения о пожаре</t>
  </si>
  <si>
    <t>IPC-P10Z</t>
  </si>
  <si>
    <t>IPM-RP10</t>
  </si>
  <si>
    <t>IPC-VRP</t>
  </si>
  <si>
    <t>IPC-EC</t>
  </si>
  <si>
    <t>IPC-MVRP</t>
  </si>
  <si>
    <t>IPC-PS16C</t>
  </si>
  <si>
    <t>IPC-LS</t>
  </si>
  <si>
    <t>03 Потолочные громкоговорители</t>
  </si>
  <si>
    <t>IPS-C6M</t>
  </si>
  <si>
    <t>IPS-C6P</t>
  </si>
  <si>
    <t>IPS-C20P</t>
  </si>
  <si>
    <t>06 Настенные громкоговорители</t>
  </si>
  <si>
    <t>IPS-W3P</t>
  </si>
  <si>
    <t>IPS-W6P</t>
  </si>
  <si>
    <t>IPS-W10P</t>
  </si>
  <si>
    <t>IPS-W20B</t>
  </si>
  <si>
    <t>IPS-W20W</t>
  </si>
  <si>
    <t>IPS-O25AL</t>
  </si>
  <si>
    <t>IPS-O45AL</t>
  </si>
  <si>
    <t>"AMC VIVA3 302WT"</t>
  </si>
  <si>
    <t>"AMC VIVA3 302BT"</t>
  </si>
  <si>
    <t>09 Рупорные громкоговорители для наружной установки</t>
  </si>
  <si>
    <t>IPS-H10P</t>
  </si>
  <si>
    <t>IPS-H15P</t>
  </si>
  <si>
    <t>IPS-H30P</t>
  </si>
  <si>
    <t>IPS-H50AL</t>
  </si>
  <si>
    <t>AMC HQ 15</t>
  </si>
  <si>
    <t>12 Шаровидный громкоговоритель</t>
  </si>
  <si>
    <t>AMC SL 20M</t>
  </si>
  <si>
    <t>15 Аксессуары</t>
  </si>
  <si>
    <t>T-A0.5</t>
  </si>
  <si>
    <t>T-RX0.5</t>
  </si>
  <si>
    <t>T-B0.5</t>
  </si>
  <si>
    <t>T-FF0.5</t>
  </si>
  <si>
    <t>T-D0.5</t>
  </si>
  <si>
    <t>по запросу</t>
  </si>
  <si>
    <t>IPA-4C120MT</t>
  </si>
  <si>
    <t>IPA-60UMT</t>
  </si>
  <si>
    <t>по запитк</t>
  </si>
  <si>
    <t xml:space="preserve">СТА Електроніка
ул. Тютюнника В., 3
тел. 044-247-47-17
www.sta.com.ua
www.ipa-audio.com.ua
</t>
  </si>
  <si>
    <t>Модель</t>
  </si>
  <si>
    <t>Опис</t>
  </si>
  <si>
    <t>Ціна</t>
  </si>
  <si>
    <t>Знижка</t>
  </si>
  <si>
    <t>Коментар</t>
  </si>
  <si>
    <t>Мікшуючі підсилювачі</t>
  </si>
  <si>
    <t>Зональні мікшуючі підсилювачі</t>
  </si>
  <si>
    <t>Передпідсилювачі та консолі</t>
  </si>
  <si>
    <t>Підсилювачі потужності</t>
  </si>
  <si>
    <t>Джерела звуку</t>
  </si>
  <si>
    <t>Настільний конденсаторний мікрофон</t>
  </si>
  <si>
    <t>Регулятори гучності</t>
  </si>
  <si>
    <t>Мережева аудіо система</t>
  </si>
  <si>
    <t>Мікшуючі підсилювачі з аудіо джерелом</t>
  </si>
  <si>
    <t>Система мовного оповіщення про пожежу</t>
  </si>
  <si>
    <t>Стельові гучномовці</t>
  </si>
  <si>
    <t>Настінні гучномовці</t>
  </si>
  <si>
    <t>Рупорні гучномовці для зовнішнього встановлення</t>
  </si>
  <si>
    <t>Аксесуари</t>
  </si>
  <si>
    <t>Сферичний двосмуговий гучномовець підвісного типу, вуфер 6"/твіттер 1", вбудований трансформатор, 100V/20W-10W-5W, 180-20'000Hz, білий</t>
  </si>
  <si>
    <t>Підвісний гучномовець</t>
  </si>
  <si>
    <t>підвищення ціни</t>
  </si>
  <si>
    <t>T-F1.2</t>
  </si>
  <si>
    <t>Кабель RCA "тато" - XLR "мама" - 0,5 метра</t>
  </si>
  <si>
    <t>новинка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</si>
</sst>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0.00_ ;[Red]\-[$$-409]#,##0.00"/>
    <numFmt numFmtId="165" formatCode="[$$-409]#,##0.00"/>
  </numFmts>
  <fonts count="18">
    <font>
      <sz val="11"/>
      <color theme="1"/>
      <name val="Calibri"/>
      <family val="2"/>
      <charset val="204"/>
      <scheme val="minor"/>
    </font>
    <font>
      <sz val="11"/>
      <color theme="1"/>
      <name val="Calibri"/>
      <family val="2"/>
      <charset val="204"/>
      <scheme val="minor"/>
    </font>
    <font>
      <sz val="11"/>
      <color rgb="FF9C0006"/>
      <name val="Calibri"/>
      <family val="2"/>
      <charset val="204"/>
      <scheme val="minor"/>
    </font>
    <font>
      <u/>
      <sz val="11"/>
      <color theme="10"/>
      <name val="Calibri"/>
      <family val="2"/>
      <charset val="204"/>
      <scheme val="minor"/>
    </font>
    <font>
      <i/>
      <sz val="11"/>
      <color rgb="FFFF0000"/>
      <name val="Calibri"/>
      <family val="2"/>
      <charset val="204"/>
      <scheme val="minor"/>
    </font>
    <font>
      <sz val="11"/>
      <color rgb="FF000000"/>
      <name val="Calibri"/>
      <family val="2"/>
      <charset val="204"/>
    </font>
    <font>
      <sz val="11"/>
      <color theme="1"/>
      <name val="Calibri"/>
      <family val="2"/>
      <scheme val="minor"/>
    </font>
    <font>
      <sz val="11"/>
      <color rgb="FF000000"/>
      <name val="Arial"/>
      <family val="2"/>
      <charset val="204"/>
    </font>
    <font>
      <sz val="10"/>
      <color rgb="FF000000"/>
      <name val="Arial"/>
      <family val="2"/>
      <charset val="204"/>
    </font>
    <font>
      <sz val="10"/>
      <color rgb="FF000000"/>
      <name val="Arial"/>
      <family val="2"/>
      <charset val="204"/>
    </font>
    <font>
      <sz val="10"/>
      <name val="Arial"/>
      <family val="2"/>
    </font>
    <font>
      <i/>
      <sz val="10"/>
      <color theme="1"/>
      <name val="Arial"/>
      <family val="2"/>
      <charset val="204"/>
    </font>
    <font>
      <sz val="11"/>
      <color indexed="8"/>
      <name val="Calibri"/>
      <family val="2"/>
      <charset val="204"/>
      <scheme val="minor"/>
    </font>
    <font>
      <sz val="11"/>
      <color theme="0"/>
      <name val="Calibri"/>
      <family val="2"/>
      <charset val="204"/>
      <scheme val="minor"/>
    </font>
    <font>
      <sz val="11"/>
      <name val="Calibri"/>
      <family val="2"/>
      <charset val="204"/>
      <scheme val="minor"/>
    </font>
    <font>
      <i/>
      <sz val="11"/>
      <color rgb="FFFF0000"/>
      <name val="Calibri"/>
      <family val="2"/>
      <charset val="204"/>
      <scheme val="minor"/>
    </font>
    <font>
      <sz val="12"/>
      <name val="宋体"/>
      <charset val="134"/>
    </font>
    <font>
      <i/>
      <sz val="11"/>
      <color rgb="FFFF0000"/>
      <name val="Calibri"/>
      <scheme val="minor"/>
    </font>
  </fonts>
  <fills count="13">
    <fill>
      <patternFill patternType="none"/>
    </fill>
    <fill>
      <patternFill patternType="gray125"/>
    </fill>
    <fill>
      <patternFill patternType="solid">
        <fgColor rgb="FFFFC7CE"/>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FFCC"/>
        <bgColor indexed="64"/>
      </patternFill>
    </fill>
    <fill>
      <patternFill patternType="solid">
        <fgColor rgb="FFF8CBAD"/>
        <bgColor indexed="64"/>
      </patternFill>
    </fill>
    <fill>
      <patternFill patternType="solid">
        <fgColor rgb="FFFCE4D6"/>
        <bgColor indexed="64"/>
      </patternFill>
    </fill>
    <fill>
      <patternFill patternType="solid">
        <fgColor rgb="FFFFFF99"/>
        <bgColor indexed="49"/>
      </patternFill>
    </fill>
    <fill>
      <patternFill patternType="solid">
        <fgColor theme="4" tint="-0.249977111117893"/>
        <bgColor indexed="64"/>
      </patternFill>
    </fill>
    <fill>
      <patternFill patternType="solid">
        <fgColor theme="4" tint="-0.499984740745262"/>
        <bgColor indexed="64"/>
      </patternFill>
    </fill>
    <fill>
      <patternFill patternType="solid">
        <fgColor rgb="FFFF99CC"/>
        <bgColor indexed="49"/>
      </patternFill>
    </fill>
    <fill>
      <patternFill patternType="solid">
        <fgColor rgb="FFFFB4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8">
    <xf numFmtId="0" fontId="0" fillId="0" borderId="0"/>
    <xf numFmtId="0" fontId="2" fillId="2" borderId="0" applyNumberFormat="0" applyBorder="0" applyAlignment="0" applyProtection="0"/>
    <xf numFmtId="0" fontId="3" fillId="0" borderId="0" applyNumberFormat="0" applyFill="0" applyBorder="0" applyAlignment="0" applyProtection="0"/>
    <xf numFmtId="164" fontId="1" fillId="5" borderId="1" applyBorder="0">
      <alignment vertical="center" wrapText="1"/>
    </xf>
    <xf numFmtId="0" fontId="5" fillId="0" borderId="0"/>
    <xf numFmtId="0" fontId="6" fillId="0" borderId="0"/>
    <xf numFmtId="0" fontId="7" fillId="0" borderId="0"/>
    <xf numFmtId="0" fontId="8" fillId="0" borderId="0"/>
    <xf numFmtId="0" fontId="9" fillId="0" borderId="0"/>
    <xf numFmtId="0" fontId="10" fillId="0" borderId="0"/>
    <xf numFmtId="165" fontId="11" fillId="8" borderId="1" applyNumberFormat="0" applyFont="0" applyBorder="0" applyAlignment="0">
      <alignment horizontal="right" vertical="top"/>
    </xf>
    <xf numFmtId="0" fontId="12" fillId="0" borderId="1">
      <alignment horizontal="left" vertical="center" wrapText="1"/>
      <protection locked="0"/>
    </xf>
    <xf numFmtId="0" fontId="1" fillId="4" borderId="1">
      <alignment vertical="center"/>
    </xf>
    <xf numFmtId="0" fontId="13" fillId="9" borderId="8">
      <alignment horizontal="left" vertical="center"/>
    </xf>
    <xf numFmtId="0" fontId="13" fillId="10" borderId="8">
      <alignment horizontal="left" vertical="center"/>
    </xf>
    <xf numFmtId="9" fontId="6" fillId="0" borderId="0" applyFont="0" applyFill="0" applyBorder="0" applyAlignment="0" applyProtection="0"/>
    <xf numFmtId="165" fontId="11" fillId="11" borderId="1" applyNumberFormat="0" applyFont="0" applyBorder="0" applyAlignment="0">
      <alignment horizontal="right" vertical="top"/>
    </xf>
    <xf numFmtId="0" fontId="16" fillId="0" borderId="0"/>
  </cellStyleXfs>
  <cellXfs count="46">
    <xf numFmtId="0" fontId="0" fillId="0" borderId="0" xfId="0"/>
    <xf numFmtId="0" fontId="0" fillId="0" borderId="3" xfId="0" applyBorder="1"/>
    <xf numFmtId="0" fontId="0" fillId="0" borderId="0" xfId="0" applyBorder="1"/>
    <xf numFmtId="0" fontId="0" fillId="0" borderId="0" xfId="0" applyBorder="1" applyAlignment="1">
      <alignment horizontal="left" vertical="center" wrapText="1"/>
    </xf>
    <xf numFmtId="9" fontId="0" fillId="3" borderId="4" xfId="0" applyNumberFormat="1" applyFill="1" applyBorder="1" applyProtection="1">
      <protection locked="0"/>
    </xf>
    <xf numFmtId="0" fontId="0" fillId="3" borderId="0" xfId="0" applyFill="1" applyBorder="1"/>
    <xf numFmtId="0" fontId="0" fillId="0" borderId="1" xfId="0" applyBorder="1" applyAlignment="1">
      <alignment vertical="center" wrapText="1"/>
    </xf>
    <xf numFmtId="0" fontId="0" fillId="0" borderId="7" xfId="0" applyBorder="1" applyAlignment="1">
      <alignment vertical="top" wrapText="1"/>
    </xf>
    <xf numFmtId="0" fontId="0" fillId="0" borderId="6" xfId="0" applyBorder="1" applyAlignment="1">
      <alignment vertical="center"/>
    </xf>
    <xf numFmtId="0" fontId="0" fillId="7" borderId="6" xfId="0" applyFill="1" applyBorder="1" applyAlignment="1">
      <alignment vertical="center"/>
    </xf>
    <xf numFmtId="0" fontId="0" fillId="7" borderId="1" xfId="0" applyFill="1" applyBorder="1" applyAlignment="1">
      <alignment vertical="top" wrapText="1"/>
    </xf>
    <xf numFmtId="164" fontId="0" fillId="7" borderId="1" xfId="0" applyNumberFormat="1" applyFill="1" applyBorder="1"/>
    <xf numFmtId="0" fontId="0" fillId="0" borderId="5" xfId="0" applyBorder="1" applyAlignment="1">
      <alignment vertical="center" wrapText="1"/>
    </xf>
    <xf numFmtId="164" fontId="0" fillId="0" borderId="1" xfId="0" applyNumberFormat="1" applyBorder="1" applyAlignment="1">
      <alignment vertical="center" wrapText="1"/>
    </xf>
    <xf numFmtId="164" fontId="0" fillId="7" borderId="1" xfId="0" applyNumberFormat="1" applyFill="1" applyBorder="1" applyAlignment="1">
      <alignment vertical="center" wrapText="1"/>
    </xf>
    <xf numFmtId="0" fontId="0" fillId="0" borderId="7" xfId="0" applyBorder="1" applyAlignment="1">
      <alignment vertical="center" wrapText="1"/>
    </xf>
    <xf numFmtId="164" fontId="0" fillId="0" borderId="7" xfId="0" applyNumberFormat="1" applyBorder="1" applyAlignment="1">
      <alignment vertical="center" wrapText="1"/>
    </xf>
    <xf numFmtId="0" fontId="0" fillId="0" borderId="2" xfId="0" applyBorder="1" applyAlignment="1">
      <alignment vertical="center"/>
    </xf>
    <xf numFmtId="0" fontId="0" fillId="7" borderId="2" xfId="0" applyFill="1" applyBorder="1" applyAlignment="1">
      <alignment vertical="center"/>
    </xf>
    <xf numFmtId="164" fontId="0" fillId="0" borderId="1" xfId="0" applyNumberFormat="1" applyBorder="1"/>
    <xf numFmtId="0" fontId="10" fillId="0" borderId="5" xfId="17" applyFont="1" applyFill="1" applyBorder="1" applyAlignment="1">
      <alignment horizontal="center" vertical="center" wrapText="1"/>
    </xf>
    <xf numFmtId="0" fontId="10" fillId="0" borderId="1" xfId="17" applyFont="1" applyFill="1" applyBorder="1" applyAlignment="1">
      <alignment horizontal="center" vertical="center" wrapText="1"/>
    </xf>
    <xf numFmtId="0" fontId="10" fillId="0" borderId="7" xfId="17" applyFont="1" applyFill="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16" applyNumberFormat="1" applyFont="1" applyFill="1" applyBorder="1" applyAlignment="1">
      <alignment vertical="center" wrapText="1"/>
    </xf>
    <xf numFmtId="164" fontId="14" fillId="0" borderId="1" xfId="16" applyNumberFormat="1" applyFont="1" applyFill="1" applyBorder="1" applyAlignment="1">
      <alignment vertical="center" wrapText="1"/>
    </xf>
    <xf numFmtId="164" fontId="0" fillId="0" borderId="1" xfId="0" applyNumberFormat="1" applyFill="1" applyBorder="1" applyAlignment="1">
      <alignment vertical="center" wrapText="1"/>
    </xf>
    <xf numFmtId="164" fontId="0" fillId="0" borderId="1" xfId="16" applyNumberFormat="1" applyFont="1" applyFill="1" applyBorder="1" applyAlignment="1">
      <alignment horizontal="right" vertical="center" wrapText="1"/>
    </xf>
    <xf numFmtId="0" fontId="0" fillId="6" borderId="1" xfId="0" applyFill="1" applyBorder="1" applyAlignment="1">
      <alignment horizontal="center" vertical="center"/>
    </xf>
    <xf numFmtId="0" fontId="0" fillId="6" borderId="5" xfId="0" applyFill="1" applyBorder="1" applyAlignment="1">
      <alignment horizontal="center" vertical="center"/>
    </xf>
    <xf numFmtId="0" fontId="4" fillId="7" borderId="1"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8" xfId="1" applyFill="1" applyBorder="1" applyAlignment="1">
      <alignment horizontal="center" vertical="center"/>
    </xf>
    <xf numFmtId="0" fontId="17" fillId="0" borderId="1" xfId="0" applyFont="1" applyBorder="1" applyAlignment="1">
      <alignment horizontal="center" vertical="center"/>
    </xf>
    <xf numFmtId="0" fontId="4" fillId="0" borderId="7" xfId="0" applyFont="1" applyBorder="1" applyAlignment="1">
      <alignment horizontal="center" vertical="center"/>
    </xf>
    <xf numFmtId="0" fontId="15" fillId="0" borderId="1" xfId="0" applyFont="1" applyBorder="1" applyAlignment="1">
      <alignment horizontal="center" vertical="center"/>
    </xf>
    <xf numFmtId="0" fontId="0" fillId="12" borderId="1" xfId="0" applyFill="1" applyBorder="1" applyAlignment="1">
      <alignment vertical="center" wrapText="1"/>
    </xf>
    <xf numFmtId="0" fontId="0" fillId="12" borderId="5" xfId="0" applyFill="1" applyBorder="1" applyAlignment="1">
      <alignment vertical="center" wrapText="1"/>
    </xf>
    <xf numFmtId="164" fontId="0" fillId="12" borderId="1" xfId="16" applyNumberFormat="1" applyFont="1" applyFill="1" applyBorder="1" applyAlignment="1">
      <alignment vertical="center" wrapText="1"/>
    </xf>
    <xf numFmtId="164" fontId="0" fillId="12" borderId="1" xfId="0" applyNumberFormat="1" applyFill="1" applyBorder="1" applyAlignment="1">
      <alignment vertical="center" wrapText="1"/>
    </xf>
    <xf numFmtId="0" fontId="10" fillId="8" borderId="1" xfId="10" applyNumberFormat="1" applyFont="1" applyBorder="1" applyAlignment="1">
      <alignment horizontal="center" vertical="center" wrapText="1"/>
    </xf>
    <xf numFmtId="0" fontId="0" fillId="8" borderId="7" xfId="10" applyNumberFormat="1" applyFont="1" applyBorder="1" applyAlignment="1">
      <alignment vertical="top" wrapText="1"/>
    </xf>
    <xf numFmtId="164" fontId="0" fillId="8" borderId="1" xfId="10" applyNumberFormat="1" applyFont="1" applyBorder="1" applyAlignment="1">
      <alignment vertical="center" wrapText="1"/>
    </xf>
    <xf numFmtId="164" fontId="0" fillId="8" borderId="1" xfId="10" applyNumberFormat="1" applyFont="1" applyBorder="1" applyAlignment="1"/>
  </cellXfs>
  <cellStyles count="18">
    <cellStyle name="Hyperlink" xfId="2"/>
    <cellStyle name="Inf" xfId="12"/>
    <cellStyle name="ИнОп" xfId="11"/>
    <cellStyle name="Новинка" xfId="10"/>
    <cellStyle name="Обычный" xfId="0" builtinId="0"/>
    <cellStyle name="Обычный 2" xfId="5"/>
    <cellStyle name="Обычный 3" xfId="4"/>
    <cellStyle name="Обычный 4" xfId="6"/>
    <cellStyle name="Обычный 5" xfId="7"/>
    <cellStyle name="Обычный 6" xfId="8"/>
    <cellStyle name="Обычный 7" xfId="17"/>
    <cellStyle name="Плохой" xfId="1" builtinId="27"/>
    <cellStyle name="Повышение цены" xfId="16"/>
    <cellStyle name="Процентный 2" xfId="15"/>
    <cellStyle name="Распродажа" xfId="3"/>
    <cellStyle name="СерияEvid" xfId="13"/>
    <cellStyle name="ТипEvid" xfId="14"/>
    <cellStyle name="표준 2" xfId="9"/>
  </cellStyles>
  <dxfs count="10">
    <dxf>
      <font>
        <i/>
        <strike val="0"/>
        <outline val="0"/>
        <shadow val="0"/>
        <u val="none"/>
        <vertAlign val="baseline"/>
        <sz val="11"/>
        <color rgb="FFFF0000"/>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409]#,##0.00_ ;[Red]\-[$$-409]#,##0.00"/>
      <border diagonalUp="0" diagonalDown="0" outline="0">
        <left style="thin">
          <color indexed="64"/>
        </left>
        <right style="thin">
          <color indexed="64"/>
        </right>
        <top style="thin">
          <color indexed="64"/>
        </top>
        <bottom style="thin">
          <color indexed="64"/>
        </bottom>
      </border>
    </dxf>
    <dxf>
      <numFmt numFmtId="164" formatCode="[$$-409]#,##0.00_ ;[Red]\-[$$-409]#,##0.0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general"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s>
  <tableStyles count="0" defaultTableStyle="TableStyleMedium2" defaultPivotStyle="PivotStyleLight16"/>
  <colors>
    <mruColors>
      <color rgb="FFFFB4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1043;&#1083;&#1072;&#1074;&#1085;&#1072;&#1103;!A1"/></Relationships>
</file>

<file path=xl/drawings/drawing1.xml><?xml version="1.0" encoding="utf-8"?>
<xdr:wsDr xmlns:xdr="http://schemas.openxmlformats.org/drawingml/2006/spreadsheetDrawing" xmlns:a="http://schemas.openxmlformats.org/drawingml/2006/main">
  <xdr:twoCellAnchor editAs="oneCell">
    <xdr:from>
      <xdr:col>1</xdr:col>
      <xdr:colOff>111499</xdr:colOff>
      <xdr:row>0</xdr:row>
      <xdr:rowOff>402851</xdr:rowOff>
    </xdr:from>
    <xdr:to>
      <xdr:col>1</xdr:col>
      <xdr:colOff>1035424</xdr:colOff>
      <xdr:row>0</xdr:row>
      <xdr:rowOff>1256516</xdr:rowOff>
    </xdr:to>
    <xdr:pic>
      <xdr:nvPicPr>
        <xdr:cNvPr id="3" name="Рисунок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99" y="402851"/>
          <a:ext cx="923925" cy="853665"/>
        </a:xfrm>
        <a:prstGeom prst="rect">
          <a:avLst/>
        </a:prstGeom>
      </xdr:spPr>
    </xdr:pic>
    <xdr:clientData/>
  </xdr:twoCellAnchor>
</xdr:wsDr>
</file>

<file path=xl/tables/table1.xml><?xml version="1.0" encoding="utf-8"?>
<table xmlns="http://schemas.openxmlformats.org/spreadsheetml/2006/main" id="3" name="IPA" displayName="IPA" ref="A3:F90" totalsRowShown="0" headerRowDxfId="9" headerRowBorderDxfId="8" tableBorderDxfId="7" totalsRowBorderDxfId="6">
  <autoFilter ref="A3:F90"/>
  <tableColumns count="6">
    <tableColumn id="1" name="Тип" dataDxfId="5"/>
    <tableColumn id="2" name="Модель" dataDxfId="4"/>
    <tableColumn id="3" name="Опис" dataDxfId="3"/>
    <tableColumn id="4" name="Ціна" dataDxfId="2"/>
    <tableColumn id="5" name="Знижка" dataDxfId="1">
      <calculatedColumnFormula>IF(IPA[[#This Row],[Ціна]]&gt;0,ROUND(IPA[[#This Row],[Ціна]]*(1-$E$2),2),"")</calculatedColumnFormula>
    </tableColumn>
    <tableColumn id="6" name="Коментар"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4B084"/>
  </sheetPr>
  <dimension ref="A1:F90"/>
  <sheetViews>
    <sheetView tabSelected="1" topLeftCell="B1" zoomScaleNormal="100" workbookViewId="0">
      <pane ySplit="3" topLeftCell="A4" activePane="bottomLeft" state="frozen"/>
      <selection pane="bottomLeft" activeCell="C7" sqref="C7"/>
    </sheetView>
  </sheetViews>
  <sheetFormatPr defaultRowHeight="15"/>
  <cols>
    <col min="1" max="1" width="6.42578125" hidden="1" customWidth="1"/>
    <col min="2" max="2" width="17.140625" bestFit="1" customWidth="1"/>
    <col min="3" max="3" width="88.5703125" customWidth="1"/>
    <col min="4" max="4" width="10.7109375" customWidth="1"/>
    <col min="5" max="5" width="11.28515625" customWidth="1"/>
    <col min="6" max="6" width="26.5703125" bestFit="1" customWidth="1"/>
  </cols>
  <sheetData>
    <row r="1" spans="1:6" ht="124.5" customHeight="1" thickBot="1">
      <c r="A1" s="2"/>
      <c r="B1" s="2"/>
      <c r="C1" s="3" t="s">
        <v>86</v>
      </c>
      <c r="D1" s="2"/>
      <c r="E1" s="2"/>
      <c r="F1" s="2"/>
    </row>
    <row r="2" spans="1:6" ht="15.75" thickBot="1">
      <c r="A2" s="2"/>
      <c r="B2" s="2"/>
      <c r="C2" s="2"/>
      <c r="D2" s="2"/>
      <c r="E2" s="4">
        <v>0</v>
      </c>
      <c r="F2" s="5"/>
    </row>
    <row r="3" spans="1:6">
      <c r="A3" s="1" t="s">
        <v>0</v>
      </c>
      <c r="B3" s="28" t="s">
        <v>87</v>
      </c>
      <c r="C3" s="28" t="s">
        <v>88</v>
      </c>
      <c r="D3" s="28" t="s">
        <v>89</v>
      </c>
      <c r="E3" s="29" t="s">
        <v>90</v>
      </c>
      <c r="F3" s="28" t="s">
        <v>91</v>
      </c>
    </row>
    <row r="4" spans="1:6">
      <c r="A4" s="8" t="s">
        <v>1</v>
      </c>
      <c r="B4" s="9" t="s">
        <v>92</v>
      </c>
      <c r="C4" s="10"/>
      <c r="D4" s="11"/>
      <c r="E4" s="11" t="str">
        <f>IF(IPA[[#This Row],[Ціна]]&gt;0,ROUND(IPA[[#This Row],[Ціна]]*(1-$E$2),2),"")</f>
        <v/>
      </c>
      <c r="F4" s="30"/>
    </row>
    <row r="5" spans="1:6" ht="60">
      <c r="A5" s="8" t="s">
        <v>1</v>
      </c>
      <c r="B5" s="12" t="s">
        <v>2</v>
      </c>
      <c r="C5" s="12" t="str">
        <f ca="1">IFERROR(__xludf.DUMMYFUNCTION("""COMPUTED_VALUE"""),"Мікшуючий підсилювач. Вихідна потужність: 40 Вт. Підтримує джерело аудіо сигналу. Можна підключити 3 мікрофони та 1 телефонну лінію. Виходи на гучномовці 4-16 Oм, 100 В і 70 В. Діапазон частот, що ефективно відтворюються 50 Гц - 16 кГц. Живлення 220 В. Сп"&amp;"оживана потужність 70 Вт. Маса 3 кг. Розміри 360 х 270 х 66")</f>
        <v>Мікшуючий підсилювач. Вихідна потужність: 40 Вт. Підтримує джерело аудіо сигналу. Можна підключити 3 мікрофони та 1 телефонну лінію. Виходи на гучномовці 4-16 Oм, 100 В і 70 В. Діапазон частот, що ефективно відтворюються 50 Гц - 16 кГц. Живлення 220 В. Споживана потужність 70 Вт. Маса 3 кг. Розміри 360 х 270 х 66</v>
      </c>
      <c r="D5" s="13">
        <v>180.76</v>
      </c>
      <c r="E5" s="13">
        <f>IF(IPA[[#This Row],[Ціна]]&gt;0,ROUND(IPA[[#This Row],[Ціна]]*(1-$E$2),2),"")</f>
        <v>180.76</v>
      </c>
      <c r="F5" s="31"/>
    </row>
    <row r="6" spans="1:6" ht="60">
      <c r="A6" s="8" t="s">
        <v>1</v>
      </c>
      <c r="B6" s="6" t="s">
        <v>3</v>
      </c>
      <c r="C6" s="12" t="str">
        <f ca="1">IFERROR(__xludf.DUMMYFUNCTION("""COMPUTED_VALUE"""),"Мікшуючий підсилювач. Вихідна потужність: 240 Вт. Підтримує 5 джерел аудіо сигналу. Можна підключити 3 мікрофони. Виходи на гучномовці 4-16 Oм, 100 В і 70 В. Діапазон частот, що ефективно відтворюються 50 Гц - 16 кГц. Живлення 220 В. Споживана потужність "&amp;"400 Вт. Маса 16,6 кг. Розміри 484 х 385 х 88")</f>
        <v>Мікшуючий підсилювач. Вихідна потужність: 240 Вт. Підтримує 5 джерел аудіо сигналу. Можна підключити 3 мікрофони. Виходи на гучномовці 4-16 Oм, 100 В і 70 В. Діапазон частот, що ефективно відтворюються 50 Гц - 16 кГц. Живлення 220 В. Споживана потужність 400 Вт. Маса 16,6 кг. Розміри 484 х 385 х 88</v>
      </c>
      <c r="D6" s="13">
        <v>446.6</v>
      </c>
      <c r="E6" s="13">
        <f>IF(IPA[[#This Row],[Ціна]]&gt;0,ROUND(IPA[[#This Row],[Ціна]]*(1-$E$2),2),"")</f>
        <v>446.6</v>
      </c>
      <c r="F6" s="32"/>
    </row>
    <row r="7" spans="1:6" ht="30">
      <c r="A7" s="8" t="s">
        <v>1</v>
      </c>
      <c r="B7" s="6" t="s">
        <v>4</v>
      </c>
      <c r="C7" s="12" t="str">
        <f ca="1">IFERROR(__xludf.DUMMYFUNCTION("""COMPUTED_VALUE"""),"Мікшируючий підсилювач, 3x MIC, 2x LINE/MIC, 1x LINE входи, 120W RMS, 100V/70V/8 Ω/TAPE/AUX виходи")</f>
        <v>Мікшируючий підсилювач, 3x MIC, 2x LINE/MIC, 1x LINE входи, 120W RMS, 100V/70V/8 Ω/TAPE/AUX виходи</v>
      </c>
      <c r="D7" s="13">
        <v>421.2</v>
      </c>
      <c r="E7" s="13">
        <f>IF(IPA[[#This Row],[Ціна]]&gt;0,ROUND(IPA[[#This Row],[Ціна]]*(1-$E$2),2),"")</f>
        <v>421.2</v>
      </c>
      <c r="F7" s="33"/>
    </row>
    <row r="8" spans="1:6">
      <c r="A8" s="8" t="s">
        <v>5</v>
      </c>
      <c r="B8" s="9" t="s">
        <v>93</v>
      </c>
      <c r="C8" s="10"/>
      <c r="D8" s="14"/>
      <c r="E8" s="14" t="str">
        <f>IF(IPA[[#This Row],[Ціна]]&gt;0,ROUND(IPA[[#This Row],[Ціна]]*(1-$E$2),2),"")</f>
        <v/>
      </c>
      <c r="F8" s="30"/>
    </row>
    <row r="9" spans="1:6" ht="60">
      <c r="A9" s="8" t="s">
        <v>5</v>
      </c>
      <c r="B9" s="6" t="s">
        <v>6</v>
      </c>
      <c r="C9" s="12" t="str">
        <f ca="1">IFERROR(__xludf.DUMMYFUNCTION("""COMPUTED_VALUE"""),"Мікшуючий підсилювач. Вихідна потужність: 120 Вт. Підтримує 4 джерела аудіо сигналу. Можна підключити 3 мікрофони. Виходи на гучномовці 4-16 Oм, 100 В та 70 В. Вбудований селектор на 5 зон. Діапазон ефективно відтворюваних частот 50 Гц – 16 кГц. Живлення "&amp;"220 В. Споживана потужність 200 Вт. Маса 9,5 кг. Розміри 484 х 335 х 88")</f>
        <v>Мікшуючий підсилювач. Вихідна потужність: 120 Вт. Підтримує 4 джерела аудіо сигналу. Можна підключити 3 мікрофони. Виходи на гучномовці 4-16 Oм, 100 В та 70 В. Вбудований селектор на 5 зон. Діапазон ефективно відтворюваних частот 50 Гц – 16 кГц. Живлення 220 В. Споживана потужність 200 Вт. Маса 9,5 кг. Розміри 484 х 335 х 88</v>
      </c>
      <c r="D9" s="24">
        <v>315.902927246871</v>
      </c>
      <c r="E9" s="24">
        <f>IF(IPA[[#This Row],[Ціна]]&gt;0,ROUND(IPA[[#This Row],[Ціна]]*(1-$E$2),2),"")</f>
        <v>315.89999999999998</v>
      </c>
      <c r="F9" s="33"/>
    </row>
    <row r="10" spans="1:6" ht="75">
      <c r="A10" s="8" t="s">
        <v>5</v>
      </c>
      <c r="B10" s="6" t="s">
        <v>7</v>
      </c>
      <c r="C10" s="12" t="str">
        <f ca="1">IFERROR(__xludf.DUMMYFUNCTION("""COMPUTED_VALUE"""),"Мікшуючий підсилювач з позонним регулюванням гучності. Вихідна потужність: 120 Вт. Підтримує 4 джерела аудіо сигналу. Можна підключити 4 мікрофони. Виходи на гучномовці 4-16 Oм, 100 В та 70 В. Вбудований селектор та регулятори на 5 зон. Діапазон ефективно"&amp;" відтворюваних частот 50 Гц – 16 кГц. Живлення 220 В. Споживана потужність 180 Вт. Маса 16,9 кг. Розміри 484 х 399 х 132")</f>
        <v>Мікшуючий підсилювач з позонним регулюванням гучності. Вихідна потужність: 120 Вт. Підтримує 4 джерела аудіо сигналу. Можна підключити 4 мікрофони. Виходи на гучномовці 4-16 Oм, 100 В та 70 В. Вбудований селектор та регулятори на 5 зон. Діапазон ефективно відтворюваних частот 50 Гц – 16 кГц. Живлення 220 В. Споживана потужність 180 Вт. Маса 16,9 кг. Розміри 484 х 399 х 132</v>
      </c>
      <c r="D10" s="13">
        <v>737.1</v>
      </c>
      <c r="E10" s="13">
        <f>IF(IPA[[#This Row],[Ціна]]&gt;0,ROUND(IPA[[#This Row],[Ціна]]*(1-$E$2),2),"")</f>
        <v>737.1</v>
      </c>
      <c r="F10" s="33"/>
    </row>
    <row r="11" spans="1:6" ht="30">
      <c r="A11" s="8" t="s">
        <v>5</v>
      </c>
      <c r="B11" s="6" t="s">
        <v>8</v>
      </c>
      <c r="C11" s="12" t="str">
        <f ca="1">IFERROR(__xludf.DUMMYFUNCTION("""COMPUTED_VALUE"""),"Модульний мікшируючий підсилювач, 2x MIC, 1x AUX, 1x TEL входи, 60W RMS, 100V/70V/25V/8 Ω лінії, 1x LINE вихід, опціональні модулі TM4 та CD5")</f>
        <v>Модульний мікшируючий підсилювач, 2x MIC, 1x AUX, 1x TEL входи, 60W RMS, 100V/70V/25V/8 Ω лінії, 1x LINE вихід, опціональні модулі TM4 та CD5</v>
      </c>
      <c r="D11" s="13">
        <v>330.2</v>
      </c>
      <c r="E11" s="13">
        <f>IF(IPA[[#This Row],[Ціна]]&gt;0,ROUND(IPA[[#This Row],[Ціна]]*(1-$E$2),2),"")</f>
        <v>330.2</v>
      </c>
      <c r="F11" s="33"/>
    </row>
    <row r="12" spans="1:6">
      <c r="A12" s="8" t="s">
        <v>9</v>
      </c>
      <c r="B12" s="9" t="s">
        <v>94</v>
      </c>
      <c r="C12" s="10"/>
      <c r="D12" s="14"/>
      <c r="E12" s="14" t="str">
        <f>IF(IPA[[#This Row],[Ціна]]&gt;0,ROUND(IPA[[#This Row],[Ціна]]*(1-$E$2),2),"")</f>
        <v/>
      </c>
      <c r="F12" s="30"/>
    </row>
    <row r="13" spans="1:6" ht="45">
      <c r="A13" s="8" t="s">
        <v>9</v>
      </c>
      <c r="B13" s="6" t="s">
        <v>10</v>
      </c>
      <c r="C13" s="12" t="str">
        <f ca="1">IFERROR(__xludf.DUMMYFUNCTION("""COMPUTED_VALUE"""),"Стереофонічний мікшируючий передпідсилювач. Можна підключити 2 мікрофони. Має 5 лінійних виходів, вхід тривоги та незбалансований вихід REC. Діапазон ефективно відтворюваних частот 20 Гц – 20 кГц. Живлення 220 В. Маса 3,9 кг. Розміри 484 х 209 х 44")</f>
        <v>Стереофонічний мікшируючий передпідсилювач. Можна підключити 2 мікрофони. Має 5 лінійних виходів, вхід тривоги та незбалансований вихід REC. Діапазон ефективно відтворюваних частот 20 Гц – 20 кГц. Живлення 220 В. Маса 3,9 кг. Розміри 484 х 209 х 44</v>
      </c>
      <c r="D13" s="13">
        <v>276.05</v>
      </c>
      <c r="E13" s="13">
        <f>IF(IPA[[#This Row],[Ціна]]&gt;0,ROUND(IPA[[#This Row],[Ціна]]*(1-$E$2),2),"")</f>
        <v>276.05</v>
      </c>
      <c r="F13" s="33"/>
    </row>
    <row r="14" spans="1:6" ht="45">
      <c r="A14" s="8" t="s">
        <v>9</v>
      </c>
      <c r="B14" s="6" t="s">
        <v>11</v>
      </c>
      <c r="C14" s="12" t="str">
        <f ca="1">IFERROR(__xludf.DUMMYFUNCTION("""COMPUTED_VALUE"""),"Передпідсилювач з 5-ти збалансованими мікрофонними входами. Має 3 аудіовходи та один вхід ЕМС. Можна підключити виносну мікрофонну консоль IPM-RP01. Діапазон ефективно відтворюваних частот 20 Гц – 20 кГц. Живлення 220/24 В. Маса 5 кг. Розміри 484 х 295 х "&amp;"44.")</f>
        <v>Передпідсилювач з 5-ти збалансованими мікрофонними входами. Має 3 аудіовходи та один вхід ЕМС. Можна підключити виносну мікрофонну консоль IPM-RP01. Діапазон ефективно відтворюваних частот 20 Гц – 20 кГц. Живлення 220/24 В. Маса 5 кг. Розміри 484 х 295 х 44.</v>
      </c>
      <c r="D14" s="13">
        <v>173.32</v>
      </c>
      <c r="E14" s="13">
        <f>IF(IPA[[#This Row],[Ціна]]&gt;0,ROUND(IPA[[#This Row],[Ціна]]*(1-$E$2),2),"")</f>
        <v>173.32</v>
      </c>
      <c r="F14" s="33"/>
    </row>
    <row r="15" spans="1:6" ht="45">
      <c r="A15" s="8" t="s">
        <v>9</v>
      </c>
      <c r="B15" s="6" t="s">
        <v>12</v>
      </c>
      <c r="C15" s="12" t="str">
        <f ca="1">IFERROR(__xludf.DUMMYFUNCTION("""COMPUTED_VALUE"""),"2-канальний стереофонічний мікшируючий передпідсилювач. Можна підключити виносну мікрофонну консоль IPM-RP01. Має 10 входів, 2 лінійні виходи. Діапазон ефективно відтворюваних частот 20 Гц – 20 кГц. Живлення 220/24 В. Маса 3,9 кг. Розміри 484 х 295 х 44.")</f>
        <v>2-канальний стереофонічний мікшируючий передпідсилювач. Можна підключити виносну мікрофонну консоль IPM-RP01. Має 10 входів, 2 лінійні виходи. Діапазон ефективно відтворюваних частот 20 Гц – 20 кГц. Живлення 220/24 В. Маса 3,9 кг. Розміри 484 х 295 х 44.</v>
      </c>
      <c r="D15" s="13">
        <v>356.06</v>
      </c>
      <c r="E15" s="13">
        <f>IF(IPA[[#This Row],[Ціна]]&gt;0,ROUND(IPA[[#This Row],[Ціна]]*(1-$E$2),2),"")</f>
        <v>356.06</v>
      </c>
      <c r="F15" s="33"/>
    </row>
    <row r="16" spans="1:6" ht="60">
      <c r="A16" s="8" t="s">
        <v>9</v>
      </c>
      <c r="B16" s="6" t="s">
        <v>13</v>
      </c>
      <c r="C16" s="12" t="str">
        <f ca="1">IFERROR(__xludf.DUMMYFUNCTION("""COMPUTED_VALUE"""),"8-канальний мікшируючий передпідсилювач. 8 незбалансованих лінійних входів (роз'єм JACK 6,3). 8 незбалансованих лінійних виходів. 3 мікрофонні входи. Діапазон ефективно відтворюваних частот 50 Гц – 18 кГц. Живлення 220 В. Споживана потужність 35 Вт. Маса "&amp;"4,6 кг. Розміри 484 х 303 х 88")</f>
        <v>8-канальний мікшируючий передпідсилювач. 8 незбалансованих лінійних входів (роз'єм JACK 6,3). 8 незбалансованих лінійних виходів. 3 мікрофонні входи. Діапазон ефективно відтворюваних частот 50 Гц – 18 кГц. Живлення 220 В. Споживана потужність 35 Вт. Маса 4,6 кг. Розміри 484 х 303 х 88</v>
      </c>
      <c r="D16" s="25">
        <v>422.63390500193299</v>
      </c>
      <c r="E16" s="25">
        <f>IF(IPA[[#This Row],[Ціна]]&gt;0,ROUND(IPA[[#This Row],[Ціна]]*(1-$E$2),2),"")</f>
        <v>422.63</v>
      </c>
      <c r="F16" s="34"/>
    </row>
    <row r="17" spans="1:6" ht="120">
      <c r="A17" s="8" t="s">
        <v>9</v>
      </c>
      <c r="B17" s="6" t="s">
        <v>14</v>
      </c>
      <c r="C17" s="12" t="str">
        <f ca="1">IFERROR(__xludf.DUMMYFUNCTION("""COMPUTED_VALUE"""),"Мікшуючий передпідсилювач із вбудованим мікрофоном. Підтримує три джерела аудіо сигналу. Можливість підключення 6 зон озвучування з функцією вибору джерела. Можна підключити 6 мікрофонних виносних консолей IPM-RP06. Мікрофонний вхід XLR з фантомним живлен"&amp;"ням, що відключається, і регулюванням чутливості мікрофона. 3 лінійні входи RCA для підключення джерел музики. Вбудований сигнал привернення уваги. 6 лінійних виходів для підключення підсилювачів потужності. Діапазон ефективно відтворюваних частот на вход"&amp;"і підсилювача та мікрофона 50 Гц – 18 кГц, на лінійному вході 20 Гц – 20 кГц. Живлення 220 В. Маса 6,58 кг. Розміри 484 х 303 х 88")</f>
        <v>Мікшуючий передпідсилювач із вбудованим мікрофоном. Підтримує три джерела аудіо сигналу. Можливість підключення 6 зон озвучування з функцією вибору джерела. Можна підключити 6 мікрофонних виносних консолей IPM-RP06. Мікрофонний вхід XLR з фантомним живленням, що відключається, і регулюванням чутливості мікрофона. 3 лінійні входи RCA для підключення джерел музики. Вбудований сигнал привернення уваги. 6 лінійних виходів для підключення підсилювачів потужності. Діапазон ефективно відтворюваних частот на вході підсилювача та мікрофона 50 Гц – 18 кГц, на лінійному вході 20 Гц – 20 кГц. Живлення 220 В. Маса 6,58 кг. Розміри 484 х 303 х 88</v>
      </c>
      <c r="D17" s="26">
        <v>440</v>
      </c>
      <c r="E17" s="26">
        <f>IF(IPA[[#This Row],[Ціна]]&gt;0,ROUND(IPA[[#This Row],[Ціна]]*(1-$E$2),2),"")</f>
        <v>440</v>
      </c>
      <c r="F17" s="32"/>
    </row>
    <row r="18" spans="1:6" ht="60">
      <c r="A18" s="8" t="s">
        <v>9</v>
      </c>
      <c r="B18" s="6" t="s">
        <v>15</v>
      </c>
      <c r="C18" s="12" t="str">
        <f ca="1">IFERROR(__xludf.DUMMYFUNCTION("""COMPUTED_VALUE"""),"Виносна мікрофонна консоль працює з передпідсилювачами IPA-PA та IPA-SMP2. Використовує мікрофон типу конденсатора. Максимальна віддаленість консолі від блоку – 1 км. Діапазон ефективно відтворюваних частот 50 Гц – 18 кГц. Живлення 24 В. Маса 960 г (без м"&amp;"ікрофона). Розміри 197 х 115 х 43,5.")</f>
        <v>Виносна мікрофонна консоль працює з передпідсилювачами IPA-PA та IPA-SMP2. Використовує мікрофон типу конденсатора. Максимальна віддаленість консолі від блоку – 1 км. Діапазон ефективно відтворюваних частот 50 Гц – 18 кГц. Живлення 24 В. Маса 960 г (без мікрофона). Розміри 197 х 115 х 43,5.</v>
      </c>
      <c r="D18" s="24">
        <v>179.25120687998199</v>
      </c>
      <c r="E18" s="24">
        <f>IF(IPA[[#This Row],[Ціна]]&gt;0,ROUND(IPA[[#This Row],[Ціна]]*(1-$E$2),2),"")</f>
        <v>179.25</v>
      </c>
      <c r="F18" s="33"/>
    </row>
    <row r="19" spans="1:6" ht="75">
      <c r="A19" s="8" t="s">
        <v>9</v>
      </c>
      <c r="B19" s="6" t="s">
        <v>16</v>
      </c>
      <c r="C19" s="12" t="str">
        <f ca="1">IFERROR(__xludf.DUMMYFUNCTION("""COMPUTED_VALUE"""),"Виносна мікрофонна консоль працює з підсилювачем IPA-6PAR. Вбудований селектор на 6 зон. Передача 3-х попередньо записаних голосових повідомлень. Використовує мікрофон типу конденсатора. Максимальна віддаленість консолі від блоку – 1 км. Діапазон ефективн"&amp;"о відтворюваних частот 100 Гц – 17 кГц. Живлення 24 В. Маса 960 г (без мікрофона). Розміри 220 х 142,7 х 51,5.")</f>
        <v>Виносна мікрофонна консоль працює з підсилювачем IPA-6PAR. Вбудований селектор на 6 зон. Передача 3-х попередньо записаних голосових повідомлень. Використовує мікрофон типу конденсатора. Максимальна віддаленість консолі від блоку – 1 км. Діапазон ефективно відтворюваних частот 100 Гц – 17 кГц. Живлення 24 В. Маса 960 г (без мікрофона). Розміри 220 х 142,7 х 51,5.</v>
      </c>
      <c r="D19" s="13">
        <v>186.52</v>
      </c>
      <c r="E19" s="13">
        <f>IF(IPA[[#This Row],[Ціна]]&gt;0,ROUND(IPA[[#This Row],[Ціна]]*(1-$E$2),2),"")</f>
        <v>186.52</v>
      </c>
      <c r="F19" s="33"/>
    </row>
    <row r="20" spans="1:6">
      <c r="A20" s="8" t="s">
        <v>17</v>
      </c>
      <c r="B20" s="9" t="s">
        <v>95</v>
      </c>
      <c r="C20" s="10"/>
      <c r="D20" s="14"/>
      <c r="E20" s="14" t="str">
        <f>IF(IPA[[#This Row],[Ціна]]&gt;0,ROUND(IPA[[#This Row],[Ціна]]*(1-$E$2),2),"")</f>
        <v/>
      </c>
      <c r="F20" s="30"/>
    </row>
    <row r="21" spans="1:6" ht="75">
      <c r="A21" s="8" t="s">
        <v>17</v>
      </c>
      <c r="B21" s="6" t="s">
        <v>18</v>
      </c>
      <c r="C21" s="12" t="str">
        <f ca="1">IFERROR(__xludf.DUMMYFUNCTION("""COMPUTED_VALUE"""),"1-канальний підсилювач потужності. Вихідна потужність 240 Вт. 1 збалансований лінійний вхід (роз'єм XLR), 1 незбалансований лінійний вхід (роз'єм JACK 6.3), 1 лінійний вихід - LINK (роз'єми XLR та JACK 6.3). Виходи на гучномовці 4-16 Ом, 100 В і 70 В. Діа"&amp;"пазон частот, що ефективно відтворюються 50 Гц - 16 кГц. Живлення 220 В. Споживана потужність 400 Вт. Маса 13,2 кг. Розміри 484 х 358 х 88.")</f>
        <v>1-канальний підсилювач потужності. Вихідна потужність 240 Вт. 1 збалансований лінійний вхід (роз'єм XLR), 1 незбалансований лінійний вхід (роз'єм JACK 6.3), 1 лінійний вихід - LINK (роз'єми XLR та JACK 6.3). Виходи на гучномовці 4-16 Ом, 100 В і 70 В. Діапазон частот, що ефективно відтворюються 50 Гц - 16 кГц. Живлення 220 В. Споживана потужність 400 Вт. Маса 13,2 кг. Розміри 484 х 358 х 88.</v>
      </c>
      <c r="D21" s="24">
        <v>469.16</v>
      </c>
      <c r="E21" s="24">
        <f>IF(IPA[[#This Row],[Ціна]]&gt;0,ROUND(IPA[[#This Row],[Ціна]]*(1-$E$2),2),"")</f>
        <v>469.16</v>
      </c>
      <c r="F21" s="33"/>
    </row>
    <row r="22" spans="1:6" ht="75">
      <c r="A22" s="8" t="s">
        <v>17</v>
      </c>
      <c r="B22" s="6" t="s">
        <v>19</v>
      </c>
      <c r="C22" s="12" t="str">
        <f ca="1">IFERROR(__xludf.DUMMYFUNCTION("""COMPUTED_VALUE"""),"1-канальний підсилювач потужності. Вихідна потужність 500 Вт. 1 збалансований лінійний вхід (роз'єм XLR), 1 незбалансований лінійний вхід (роз'єм JACK 6.3), 1 лінійний вихід - LINK (роз'єми XLR та JACK 6.3). Виходи на гучномовці 4-16 Ом, 100 В і 70 В. Діа"&amp;"пазон частот, що ефективно відтворюються 50 Гц - 16 кГц. Живлення 220 В. Споживана потужність 720 Вт. Маса 19 кг. Розміри 484 х 358 х 132.")</f>
        <v>1-канальний підсилювач потужності. Вихідна потужність 500 Вт. 1 збалансований лінійний вхід (роз'єм XLR), 1 незбалансований лінійний вхід (роз'єм JACK 6.3), 1 лінійний вихід - LINK (роз'єми XLR та JACK 6.3). Виходи на гучномовці 4-16 Ом, 100 В і 70 В. Діапазон частот, що ефективно відтворюються 50 Гц - 16 кГц. Живлення 220 В. Споживана потужність 720 Вт. Маса 19 кг. Розміри 484 х 358 х 132.</v>
      </c>
      <c r="D22" s="24">
        <v>634.15</v>
      </c>
      <c r="E22" s="24">
        <f>IF(IPA[[#This Row],[Ціна]]&gt;0,ROUND(IPA[[#This Row],[Ціна]]*(1-$E$2),2),"")</f>
        <v>634.15</v>
      </c>
      <c r="F22" s="32"/>
    </row>
    <row r="23" spans="1:6" ht="75">
      <c r="A23" s="8" t="s">
        <v>17</v>
      </c>
      <c r="B23" s="6" t="s">
        <v>20</v>
      </c>
      <c r="C23" s="12" t="str">
        <f ca="1">IFERROR(__xludf.DUMMYFUNCTION("""COMPUTED_VALUE"""),"1-канальний підсилювач потужності. Вихідна потужність 650 Вт. 1 збалансований лінійний вхід (роз'єм XLR), 1 незбалансований лінійний вхід (роз'єм JACK 6.3), 1 лінійний вихід - LINK (роз'єми XLR та JACK 6.3). Виходи на гучномовці 4-16 Ом, 100 В і 70 В. Діа"&amp;"пазон частот, що ефективно відтворюються 50 Гц - 16 кГц. Живлення 220 В. Споживана потужність 950 Вт. Маса 22 кг. Розміри 484 х 358 х 132.")</f>
        <v>1-канальний підсилювач потужності. Вихідна потужність 650 Вт. 1 збалансований лінійний вхід (роз'єм XLR), 1 незбалансований лінійний вхід (роз'єм JACK 6.3), 1 лінійний вихід - LINK (роз'єми XLR та JACK 6.3). Виходи на гучномовці 4-16 Ом, 100 В і 70 В. Діапазон частот, що ефективно відтворюються 50 Гц - 16 кГц. Живлення 220 В. Споживана потужність 950 Вт. Маса 22 кг. Розміри 484 х 358 х 132.</v>
      </c>
      <c r="D23" s="24">
        <v>792.63</v>
      </c>
      <c r="E23" s="24">
        <f>IF(IPA[[#This Row],[Ціна]]&gt;0,ROUND(IPA[[#This Row],[Ціна]]*(1-$E$2),2),"")</f>
        <v>792.63</v>
      </c>
      <c r="F23" s="32"/>
    </row>
    <row r="24" spans="1:6" ht="60">
      <c r="A24" s="8" t="s">
        <v>17</v>
      </c>
      <c r="B24" s="6" t="s">
        <v>21</v>
      </c>
      <c r="C24" s="12" t="str">
        <f ca="1">IFERROR(__xludf.DUMMYFUNCTION("""COMPUTED_VALUE"""),"2-канальний підсилювач потужності. Вихідна потужність 2х240 Вт. 2 незалежні лінійні входи (роз'єм XLR та JACK 6.3), 2 незалежні лінійні виходи LINK (роз'єми XLR та JACK 6.3). Виходи на гучномовці 4-16 Ом, 100 В і 70 В. Діапазон частот, що ефективно відтво"&amp;"рюються 50 Гц - 16 кГц. Живлення 220 В. Споживана потужність 720 Вт. Маса 11,3 кг. Розміри 484 х 359 х 132.")</f>
        <v>2-канальний підсилювач потужності. Вихідна потужність 2х240 Вт. 2 незалежні лінійні входи (роз'єм XLR та JACK 6.3), 2 незалежні лінійні виходи LINK (роз'єми XLR та JACK 6.3). Виходи на гучномовці 4-16 Ом, 100 В і 70 В. Діапазон частот, що ефективно відтворюються 50 Гц - 16 кГц. Живлення 220 В. Споживана потужність 720 Вт. Маса 11,3 кг. Розміри 484 х 359 х 132.</v>
      </c>
      <c r="D24" s="24">
        <v>745.28</v>
      </c>
      <c r="E24" s="24">
        <f>IF(IPA[[#This Row],[Ціна]]&gt;0,ROUND(IPA[[#This Row],[Ціна]]*(1-$E$2),2),"")</f>
        <v>745.28</v>
      </c>
      <c r="F24" s="32"/>
    </row>
    <row r="25" spans="1:6" ht="60">
      <c r="A25" s="8" t="s">
        <v>17</v>
      </c>
      <c r="B25" s="6" t="s">
        <v>22</v>
      </c>
      <c r="C25" s="12" t="str">
        <f ca="1">IFERROR(__xludf.DUMMYFUNCTION("""COMPUTED_VALUE"""),"2-канальний підсилювач потужності. Вихідна потужність 2х500 Вт. 2 незалежні лінійні входи (роз'єм XLR та JACK 6.3), 2 незалежні лінійні виходи LINK (роз'єми XLR та JACK 6.3). Виходи на гучномовці 4-16 Ом, 100 В і 70 В. Діапазон частот, що ефективно відтво"&amp;"рюються 50 Гц - 16 кГц. Живлення 220 В. Споживана потужність 1500 Вт. Маса 30 кг. Розміри 484 х 359 х 132.")</f>
        <v>2-канальний підсилювач потужності. Вихідна потужність 2х500 Вт. 2 незалежні лінійні входи (роз'єм XLR та JACK 6.3), 2 незалежні лінійні виходи LINK (роз'єми XLR та JACK 6.3). Виходи на гучномовці 4-16 Ом, 100 В і 70 В. Діапазон частот, що ефективно відтворюються 50 Гц - 16 кГц. Живлення 220 В. Споживана потужність 1500 Вт. Маса 30 кг. Розміри 484 х 359 х 132.</v>
      </c>
      <c r="D25" s="24">
        <v>1007.01</v>
      </c>
      <c r="E25" s="24">
        <f>IF(IPA[[#This Row],[Ціна]]&gt;0,ROUND(IPA[[#This Row],[Ціна]]*(1-$E$2),2),"")</f>
        <v>1007.01</v>
      </c>
      <c r="F25" s="32"/>
    </row>
    <row r="26" spans="1:6" ht="60">
      <c r="A26" s="8" t="s">
        <v>17</v>
      </c>
      <c r="B26" s="6" t="s">
        <v>23</v>
      </c>
      <c r="C26" s="12" t="str">
        <f ca="1">IFERROR(__xludf.DUMMYFUNCTION("""COMPUTED_VALUE"""),"4-канальний підсилювач потужності. Вихідна потужність 4х120 Вт. 4 незалежні лінійні входи (роз'єми XLR), Виходи на гучномовці: 100 В / 70 В / 4-16 Ом. Діапазон ефективно відтворюваних частот 50 Гц – 16 кГц. Живлення 220 В. Споживана потужність 720 Вт. Мас"&amp;"а 22 кг. Розміри 484 х 448 х 88.")</f>
        <v>4-канальний підсилювач потужності. Вихідна потужність 4х120 Вт. 4 незалежні лінійні входи (роз'єми XLR), Виходи на гучномовці: 100 В / 70 В / 4-16 Ом. Діапазон ефективно відтворюваних частот 50 Гц – 16 кГц. Живлення 220 В. Споживана потужність 720 Вт. Маса 22 кг. Розміри 484 х 448 х 88.</v>
      </c>
      <c r="D26" s="24">
        <v>1141.60612381689</v>
      </c>
      <c r="E26" s="24">
        <f>IF(IPA[[#This Row],[Ціна]]&gt;0,ROUND(IPA[[#This Row],[Ціна]]*(1-$E$2),2),"")</f>
        <v>1141.6099999999999</v>
      </c>
      <c r="F26" s="32"/>
    </row>
    <row r="27" spans="1:6" ht="60">
      <c r="A27" s="8" t="s">
        <v>17</v>
      </c>
      <c r="B27" s="6" t="s">
        <v>24</v>
      </c>
      <c r="C27" s="12" t="str">
        <f ca="1">IFERROR(__xludf.DUMMYFUNCTION("""COMPUTED_VALUE"""),"4-канальний підсилювач потужності. Вихідна потужність 4х240 Вт. 4 незалежні лінійні входи (роз'єм XLR). Виходи на гучномовці 100 В / 70 В / 4-16 Ом. Діапазон частот, що ефективно відтворюються 50 Гц - 16 кГц. Живлення 220 В. Споживана потужність 1500 Вт. "&amp;"Маса 30 кг. Розміри 484 х 449 х 88.")</f>
        <v>4-канальний підсилювач потужності. Вихідна потужність 4х240 Вт. 4 незалежні лінійні входи (роз'єм XLR). Виходи на гучномовці 100 В / 70 В / 4-16 Ом. Діапазон частот, що ефективно відтворюються 50 Гц - 16 кГц. Живлення 220 В. Споживана потужність 1500 Вт. Маса 30 кг. Розміри 484 х 449 х 88.</v>
      </c>
      <c r="D27" s="24">
        <v>1595.11</v>
      </c>
      <c r="E27" s="24">
        <f>IF(IPA[[#This Row],[Ціна]]&gt;0,ROUND(IPA[[#This Row],[Ціна]]*(1-$E$2),2),"")</f>
        <v>1595.11</v>
      </c>
      <c r="F27" s="33"/>
    </row>
    <row r="28" spans="1:6">
      <c r="A28" s="8" t="s">
        <v>25</v>
      </c>
      <c r="B28" s="9" t="s">
        <v>100</v>
      </c>
      <c r="C28" s="10"/>
      <c r="D28" s="14"/>
      <c r="E28" s="14" t="str">
        <f>IF(IPA[[#This Row],[Ціна]]&gt;0,ROUND(IPA[[#This Row],[Ціна]]*(1-$E$2),2),"")</f>
        <v/>
      </c>
      <c r="F28" s="30"/>
    </row>
    <row r="29" spans="1:6" ht="60">
      <c r="A29" s="8" t="s">
        <v>25</v>
      </c>
      <c r="B29" s="6" t="s">
        <v>26</v>
      </c>
      <c r="C29" s="12" t="str">
        <f ca="1">IFERROR(__xludf.DUMMYFUNCTION("""COMPUTED_VALUE"""),"Мікшуючий підсилювач. 5 зон. Вихідна потужність: 240 Вт. Вбудований програвач МР3. Роз'єм USB. Пульт ДУ. Три збалансовані мікрофонні входи. Два входи AUX та 2 лінійні, один EMC. Виходи на гучномовці 100 В/70 В/4-16 Ом. Діапазон ефективно відтворюваних час"&amp;"тот 50 Гц – 16 кГц. Живлення 220 В. Споживана потужність 200 Вт. Маса 10 кг. Розміри 484 х 303 х 88")</f>
        <v>Мікшуючий підсилювач. 5 зон. Вихідна потужність: 240 Вт. Вбудований програвач МР3. Роз'єм USB. Пульт ДУ. Три збалансовані мікрофонні входи. Два входи AUX та 2 лінійні, один EMC. Виходи на гучномовці 100 В/70 В/4-16 Ом. Діапазон ефективно відтворюваних частот 50 Гц – 16 кГц. Живлення 220 В. Споживана потужність 200 Вт. Маса 10 кг. Розміри 484 х 303 х 88</v>
      </c>
      <c r="D29" s="13">
        <v>466.65</v>
      </c>
      <c r="E29" s="13">
        <f>IF(IPA[[#This Row],[Ціна]]&gt;0,ROUND(IPA[[#This Row],[Ціна]]*(1-$E$2),2),"")</f>
        <v>466.65</v>
      </c>
      <c r="F29" s="33"/>
    </row>
    <row r="30" spans="1:6" ht="60">
      <c r="A30" s="8"/>
      <c r="B30" s="6" t="s">
        <v>84</v>
      </c>
      <c r="C30" s="12" t="str">
        <f ca="1">IFERROR(__xludf.DUMMYFUNCTION("""COMPUTED_VALUE"""),"Мікшуючий підсилювач. Вихідна потужність60 Вт. Вбудований програвач МР3 та тюнер. Слот для картки SD на 8 ГБ та роз'єм USB. 1 мікрофонний вхід комбінованого типу на задній панелі та типу jack на передній панелі. 1 лінійний вхід (AUX) типу RCA. Виходи на г"&amp;"учномовці 100 В/70 В/4-16 Ом. Діапазон ефективно відтворюваних частот 50 Гц – 18 кГц. Живлення 220/24 В. ")</f>
        <v xml:space="preserve">Мікшуючий підсилювач. Вихідна потужність60 Вт. Вбудований програвач МР3 та тюнер. Слот для картки SD на 8 ГБ та роз'єм USB. 1 мікрофонний вхід комбінованого типу на задній панелі та типу jack на передній панелі. 1 лінійний вхід (AUX) типу RCA. Виходи на гучномовці 100 В/70 В/4-16 Ом. Діапазон ефективно відтворюваних частот 50 Гц – 18 кГц. Живлення 220/24 В. </v>
      </c>
      <c r="D30" s="24">
        <v>262.8</v>
      </c>
      <c r="E30" s="24">
        <f>IF(IPA[[#This Row],[Ціна]]&gt;0,ROUND(IPA[[#This Row],[Ціна]]*(1-$E$2),2),"")</f>
        <v>262.8</v>
      </c>
      <c r="F30" s="32"/>
    </row>
    <row r="31" spans="1:6" ht="75">
      <c r="A31" s="8" t="s">
        <v>25</v>
      </c>
      <c r="B31" s="6" t="s">
        <v>27</v>
      </c>
      <c r="C31" s="12" t="str">
        <f ca="1">IFERROR(__xludf.DUMMYFUNCTION("""COMPUTED_VALUE"""),"Мікшуючий підсилювач. Вихідна потужність120 Вт. Вбудований програвач МР3 та тюнер. Слот для картки SD на 8 ГБ та роз'єм USB. 1 мікрофонний вхід комбінованого типу на задній панелі та типу jack на передній панелі. 1 лінійний вхід (AUX) типу RCA. Виходи на "&amp;"гучномовці 100 В/70 В/4-16 Ом. Діапазон ефективно відтворюваних частот 50 Гц – 18 кГц. Живлення 220/24 В. Споживана потужність 180 Вт. Маса 10,4 кг. Розміри 484 х 358 х 88")</f>
        <v>Мікшуючий підсилювач. Вихідна потужність120 Вт. Вбудований програвач МР3 та тюнер. Слот для картки SD на 8 ГБ та роз'єм USB. 1 мікрофонний вхід комбінованого типу на задній панелі та типу jack на передній панелі. 1 лінійний вхід (AUX) типу RCA. Виходи на гучномовці 100 В/70 В/4-16 Ом. Діапазон ефективно відтворюваних частот 50 Гц – 18 кГц. Живлення 220/24 В. Споживана потужність 180 Вт. Маса 10,4 кг. Розміри 484 х 358 х 88</v>
      </c>
      <c r="D31" s="24">
        <v>555.14</v>
      </c>
      <c r="E31" s="24">
        <f>IF(IPA[[#This Row],[Ціна]]&gt;0,ROUND(IPA[[#This Row],[Ціна]]*(1-$E$2),2),"")</f>
        <v>555.14</v>
      </c>
      <c r="F31" s="32"/>
    </row>
    <row r="32" spans="1:6" ht="90">
      <c r="A32" s="8" t="s">
        <v>25</v>
      </c>
      <c r="B32" s="6" t="s">
        <v>28</v>
      </c>
      <c r="C32" s="12" t="str">
        <f ca="1">IFERROR(__xludf.DUMMYFUNCTION("""COMPUTED_VALUE"""),"Мікшуючий підсилювач. 5 зон. Вихідна потужність: 240 Вт. Вбудований програвач МР3. Тюнер. Роз'єм USB. Пульт ДУ. Три збалансовані мікрофонні входи. 1 вхід AUX та 2 лінійних, один лінійний вихід, вхід ЕМС. Попередній вихід/вхід підсилювача. Виходи на гучном"&amp;"овці 100 В/70 В/4-16 Ом. Діапазон ефективно відтворюваних частот 50 Гц – 15 кГц. Діапазон частот, що приймаються тюнером 522 кГц - 1611 кГц / 87,5 МГц - 108 МГц. Живлення 220 В. Споживана потужність 350 Вт. Маса 13,7 кг. Розміри 444 х 421 х 132.")</f>
        <v>Мікшуючий підсилювач. 5 зон. Вихідна потужність: 240 Вт. Вбудований програвач МР3. Тюнер. Роз'єм USB. Пульт ДУ. Три збалансовані мікрофонні входи. 1 вхід AUX та 2 лінійних, один лінійний вихід, вхід ЕМС. Попередній вихід/вхід підсилювача. Виходи на гучномовці 100 В/70 В/4-16 Ом. Діапазон ефективно відтворюваних частот 50 Гц – 15 кГц. Діапазон частот, що приймаються тюнером 522 кГц - 1611 кГц / 87,5 МГц - 108 МГц. Живлення 220 В. Споживана потужність 350 Вт. Маса 13,7 кг. Розміри 444 х 421 х 132.</v>
      </c>
      <c r="D32" s="13">
        <v>669.83</v>
      </c>
      <c r="E32" s="13">
        <f>IF(IPA[[#This Row],[Ціна]]&gt;0,ROUND(IPA[[#This Row],[Ціна]]*(1-$E$2),2),"")</f>
        <v>669.83</v>
      </c>
      <c r="F32" s="33"/>
    </row>
    <row r="33" spans="1:6" ht="120">
      <c r="A33" s="8"/>
      <c r="B33" s="6" t="s">
        <v>83</v>
      </c>
      <c r="C33" s="12" t="str">
        <f ca="1">IFERROR(__xludf.DUMMYFUNCTION("""COMPUTED_VALUE"""),"4-канальний матричний мікшируючий підсилювач. Вихідна потужність 4х120 Вт. Вбудований програвач МР3. Тюнер AM/FM. Роз'єм USB, слот SD. Пульт ДУ. П'ять лінійних входів, три з яких можуть бути збалансованими мікрофонними з фантомним живленням. 4 окремі ліні"&amp;"йні входи (по одному на кожен канал). Окремий вихід на моніторний динамік із регулюванням гучності на передній панелі. Виходи на гучномовці 100 В/70 В/4-16 Ом. Діапазон ефективно відтворюваних частот 80 Гц – 16 кГц. Діапазон частот, що приймаються тюнером"&amp;" 522 кГц - 1611 кГц / 87,5 МГц - 108 МГц. Живлення 220 В. Споживана потужність 750 Вт. Маса 15 кг. Розміри 484 х 399 х 132.")</f>
        <v>4-канальний матричний мікшируючий підсилювач. Вихідна потужність 4х120 Вт. Вбудований програвач МР3. Тюнер AM/FM. Роз'єм USB, слот SD. Пульт ДУ. П'ять лінійних входів, три з яких можуть бути збалансованими мікрофонними з фантомним живленням. 4 окремі лінійні входи (по одному на кожен канал). Окремий вихід на моніторний динамік із регулюванням гучності на передній панелі. Виходи на гучномовці 100 В/70 В/4-16 Ом. Діапазон ефективно відтворюваних частот 80 Гц – 16 кГц. Діапазон частот, що приймаються тюнером 522 кГц - 1611 кГц / 87,5 МГц - 108 МГц. Живлення 220 В. Споживана потужність 750 Вт. Маса 15 кг. Розміри 484 х 399 х 132.</v>
      </c>
      <c r="D33" s="13">
        <v>1350</v>
      </c>
      <c r="E33" s="13">
        <f>IF(IPA[[#This Row],[Ціна]]&gt;0,ROUND(IPA[[#This Row],[Ціна]]*(1-$E$2),2),"")</f>
        <v>1350</v>
      </c>
      <c r="F33" s="35"/>
    </row>
    <row r="34" spans="1:6">
      <c r="A34" s="8" t="s">
        <v>29</v>
      </c>
      <c r="B34" s="9" t="s">
        <v>96</v>
      </c>
      <c r="C34" s="10"/>
      <c r="D34" s="14"/>
      <c r="E34" s="14" t="str">
        <f>IF(IPA[[#This Row],[Ціна]]&gt;0,ROUND(IPA[[#This Row],[Ціна]]*(1-$E$2),2),"")</f>
        <v/>
      </c>
      <c r="F34" s="30"/>
    </row>
    <row r="35" spans="1:6">
      <c r="A35" s="8" t="s">
        <v>29</v>
      </c>
      <c r="B35" s="6" t="s">
        <v>30</v>
      </c>
      <c r="C35" s="12" t="str">
        <f ca="1">IFERROR(__xludf.DUMMYFUNCTION("""COMPUTED_VALUE"""),"Модуль програвача CD та стислих аудіофайлів для підсилювачів серії MMA")</f>
        <v>Модуль програвача CD та стислих аудіофайлів для підсилювачів серії MMA</v>
      </c>
      <c r="D35" s="13">
        <v>377</v>
      </c>
      <c r="E35" s="13">
        <f>IF(IPA[[#This Row],[Ціна]]&gt;0,ROUND(IPA[[#This Row],[Ціна]]*(1-$E$2),2),"")</f>
        <v>377</v>
      </c>
      <c r="F35" s="33"/>
    </row>
    <row r="36" spans="1:6">
      <c r="A36" s="8" t="s">
        <v>29</v>
      </c>
      <c r="B36" s="6" t="s">
        <v>31</v>
      </c>
      <c r="C36" s="12" t="str">
        <f ca="1">IFERROR(__xludf.DUMMYFUNCTION("""COMPUTED_VALUE"""),"Модуль AM/FM-тюнера для підсилювачів серії MMA")</f>
        <v>Модуль AM/FM-тюнера для підсилювачів серії MMA</v>
      </c>
      <c r="D36" s="13">
        <v>156</v>
      </c>
      <c r="E36" s="13">
        <f>IF(IPA[[#This Row],[Ціна]]&gt;0,ROUND(IPA[[#This Row],[Ціна]]*(1-$E$2),2),"")</f>
        <v>156</v>
      </c>
      <c r="F36" s="33"/>
    </row>
    <row r="37" spans="1:6" ht="30">
      <c r="A37" s="8" t="s">
        <v>29</v>
      </c>
      <c r="B37" s="6" t="s">
        <v>32</v>
      </c>
      <c r="C37" s="12" t="str">
        <f ca="1">IFERROR(__xludf.DUMMYFUNCTION("""COMPUTED_VALUE"""),"Модуль програвача CD та стисненого аудіо із вбудованим AM/FM-тюнером для п'ятизонних підсилювачів серії MMA")</f>
        <v>Модуль програвача CD та стисненого аудіо із вбудованим AM/FM-тюнером для п'ятизонних підсилювачів серії MMA</v>
      </c>
      <c r="D37" s="13">
        <v>330</v>
      </c>
      <c r="E37" s="13">
        <f>IF(IPA[[#This Row],[Ціна]]&gt;0,ROUND(IPA[[#This Row],[Ціна]]*(1-$E$2),2),"")</f>
        <v>330</v>
      </c>
      <c r="F37" s="33"/>
    </row>
    <row r="38" spans="1:6" ht="30">
      <c r="A38" s="8" t="s">
        <v>29</v>
      </c>
      <c r="B38" s="6" t="s">
        <v>33</v>
      </c>
      <c r="C38" s="12" t="str">
        <f ca="1">IFERROR(__xludf.DUMMYFUNCTION("""COMPUTED_VALUE"""),"Програвач пристроїв Flash-пам'яті та SD-карт, стислих аудіо файлів для п'ятизонних підсилювачів серії MMA")</f>
        <v>Програвач пристроїв Flash-пам'яті та SD-карт, стислих аудіо файлів для п'ятизонних підсилювачів серії MMA</v>
      </c>
      <c r="D38" s="13">
        <v>189.67</v>
      </c>
      <c r="E38" s="13">
        <f>IF(IPA[[#This Row],[Ціна]]&gt;0,ROUND(IPA[[#This Row],[Ціна]]*(1-$E$2),2),"")</f>
        <v>189.67</v>
      </c>
      <c r="F38" s="33"/>
    </row>
    <row r="39" spans="1:6" ht="30">
      <c r="A39" s="8" t="s">
        <v>29</v>
      </c>
      <c r="B39" s="6" t="s">
        <v>34</v>
      </c>
      <c r="C39" s="12" t="str">
        <f ca="1">IFERROR(__xludf.DUMMYFUNCTION("""COMPUTED_VALUE"""),"Музичний плеєр-рекордер, вбудований порт для пристроїв Flash-пам'яті та зчитувач карток SD MMC. Інтегрований вхід AUX для запису. Макс. якість запису – 256Kbps.")</f>
        <v>Музичний плеєр-рекордер, вбудований порт для пристроїв Flash-пам'яті та зчитувач карток SD MMC. Інтегрований вхід AUX для запису. Макс. якість запису – 256Kbps.</v>
      </c>
      <c r="D39" s="13">
        <v>369.2</v>
      </c>
      <c r="E39" s="13">
        <f>IF(IPA[[#This Row],[Ціна]]&gt;0,ROUND(IPA[[#This Row],[Ціна]]*(1-$E$2),2),"")</f>
        <v>369.2</v>
      </c>
      <c r="F39" s="33"/>
    </row>
    <row r="40" spans="1:6">
      <c r="A40" s="8" t="s">
        <v>35</v>
      </c>
      <c r="B40" s="9" t="s">
        <v>97</v>
      </c>
      <c r="C40" s="10"/>
      <c r="D40" s="14"/>
      <c r="E40" s="14" t="str">
        <f>IF(IPA[[#This Row],[Ціна]]&gt;0,ROUND(IPA[[#This Row],[Ціна]]*(1-$E$2),2),"")</f>
        <v/>
      </c>
      <c r="F40" s="30"/>
    </row>
    <row r="41" spans="1:6" ht="60">
      <c r="A41" s="8" t="s">
        <v>35</v>
      </c>
      <c r="B41" s="38" t="s">
        <v>36</v>
      </c>
      <c r="C41" s="39" t="str">
        <f ca="1">IFERROR(__xludf.DUMMYFUNCTION("""COMPUTED_VALUE"""),"Настільний конденсаторний мікрофон з роз'ємом jack 6,3 та перехідником на XLR. Частотний діапазон 20 – 18000 Гц. Вихід: 75 Ом, збалансований. Чутливість -40 дБ±2 дБ. Кнопка вмикання живлення. Довжина гусака 410 мм. Живлення 3 В (2 батареї ААА) або 48 В (ф"&amp;"антомне). Вага 0,78 кг. Розміри 114 х 140 х 37.")</f>
        <v>Настільний конденсаторний мікрофон з роз'ємом jack 6,3 та перехідником на XLR. Частотний діапазон 20 – 18000 Гц. Вихід: 75 Ом, збалансований. Чутливість -40 дБ±2 дБ. Кнопка вмикання живлення. Довжина гусака 410 мм. Живлення 3 В (2 батареї ААА) або 48 В (фантомне). Вага 0,78 кг. Розміри 114 х 140 х 37.</v>
      </c>
      <c r="D41" s="40">
        <v>80.44</v>
      </c>
      <c r="E41" s="40">
        <f>IF(IPA[[#This Row],[Ціна]]&gt;0,ROUND(IPA[[#This Row],[Ціна]]*(1-$E$2),2),"")</f>
        <v>80.44</v>
      </c>
      <c r="F41" s="32" t="s">
        <v>108</v>
      </c>
    </row>
    <row r="42" spans="1:6" ht="30">
      <c r="A42" s="8" t="s">
        <v>35</v>
      </c>
      <c r="B42" s="6" t="s">
        <v>37</v>
      </c>
      <c r="C42" s="12" t="str">
        <f ca="1">IFERROR(__xludf.DUMMYFUNCTION("""COMPUTED_VALUE"""),"Ручний мікрофон з 7-ми піновим роз'ємом для використання спільно з блоком управління евакуацією IPC-EC. Частотний діапазон 250 – 10000 Гц. Маса 0,5 кг. Розміри 98 х 50 х 30.")</f>
        <v>Ручний мікрофон з 7-ми піновим роз'ємом для використання спільно з блоком управління евакуацією IPC-EC. Частотний діапазон 250 – 10000 Гц. Маса 0,5 кг. Розміри 98 х 50 х 30.</v>
      </c>
      <c r="D42" s="13">
        <v>42.9</v>
      </c>
      <c r="E42" s="13">
        <f>IF(IPA[[#This Row],[Ціна]]&gt;0,ROUND(IPA[[#This Row],[Ціна]]*(1-$E$2),2),"")</f>
        <v>42.9</v>
      </c>
      <c r="F42" s="32"/>
    </row>
    <row r="43" spans="1:6">
      <c r="A43" s="8" t="s">
        <v>38</v>
      </c>
      <c r="B43" s="9" t="s">
        <v>98</v>
      </c>
      <c r="C43" s="10"/>
      <c r="D43" s="14"/>
      <c r="E43" s="14" t="str">
        <f>IF(IPA[[#This Row],[Ціна]]&gt;0,ROUND(IPA[[#This Row],[Ціна]]*(1-$E$2),2),"")</f>
        <v/>
      </c>
      <c r="F43" s="30"/>
    </row>
    <row r="44" spans="1:6" ht="45">
      <c r="A44" s="8" t="s">
        <v>38</v>
      </c>
      <c r="B44" s="6" t="s">
        <v>39</v>
      </c>
      <c r="C44" s="12" t="str">
        <f ca="1">IFERROR(__xludf.DUMMYFUNCTION("""COMPUTED_VALUE"""),"Регулятор гучності 60 Вт. Має додаткове реле 24 В для примусового включення максимальної гучності. 10 рівнів регулювання гучності + ВИМК. Розміри 86х86х27. Маса 180 г. Встановлюється в монтажну коробку IPV-АВ.")</f>
        <v>Регулятор гучності 60 Вт. Має додаткове реле 24 В для примусового включення максимальної гучності. 10 рівнів регулювання гучності + ВИМК. Розміри 86х86х27. Маса 180 г. Встановлюється в монтажну коробку IPV-АВ.</v>
      </c>
      <c r="D44" s="24">
        <v>29.66</v>
      </c>
      <c r="E44" s="24">
        <f>IF(IPA[[#This Row],[Ціна]]&gt;0,ROUND(IPA[[#This Row],[Ціна]]*(1-$E$2),2),"")</f>
        <v>29.66</v>
      </c>
      <c r="F44" s="32"/>
    </row>
    <row r="45" spans="1:6">
      <c r="A45" s="8" t="s">
        <v>38</v>
      </c>
      <c r="B45" s="6" t="s">
        <v>40</v>
      </c>
      <c r="C45" s="12" t="str">
        <f ca="1">IFERROR(__xludf.DUMMYFUNCTION("""COMPUTED_VALUE"""),"Регулятор гучності 200 Вт. Розміри 74 х 74 х 27.")</f>
        <v>Регулятор гучності 200 Вт. Розміри 74 х 74 х 27.</v>
      </c>
      <c r="D45" s="13">
        <v>36.130000000000003</v>
      </c>
      <c r="E45" s="13">
        <f>IF(IPA[[#This Row],[Ціна]]&gt;0,ROUND(IPA[[#This Row],[Ціна]]*(1-$E$2),2),"")</f>
        <v>36.130000000000003</v>
      </c>
      <c r="F45" s="33"/>
    </row>
    <row r="46" spans="1:6">
      <c r="A46" s="8" t="s">
        <v>38</v>
      </c>
      <c r="B46" s="6" t="s">
        <v>41</v>
      </c>
      <c r="C46" s="12" t="str">
        <f ca="1">IFERROR(__xludf.DUMMYFUNCTION("""COMPUTED_VALUE"""),"Монтажна коробка для регуляторів гучності. Розміри 86 х 86 х 50.")</f>
        <v>Монтажна коробка для регуляторів гучності. Розміри 86 х 86 х 50.</v>
      </c>
      <c r="D46" s="13">
        <v>4.07</v>
      </c>
      <c r="E46" s="13">
        <f>IF(IPA[[#This Row],[Ціна]]&gt;0,ROUND(IPA[[#This Row],[Ціна]]*(1-$E$2),2),"")</f>
        <v>4.07</v>
      </c>
      <c r="F46" s="33"/>
    </row>
    <row r="47" spans="1:6">
      <c r="A47" s="8" t="s">
        <v>42</v>
      </c>
      <c r="B47" s="9" t="s">
        <v>99</v>
      </c>
      <c r="C47" s="10"/>
      <c r="D47" s="14"/>
      <c r="E47" s="14" t="str">
        <f>IF(IPA[[#This Row],[Ціна]]&gt;0,ROUND(IPA[[#This Row],[Ціна]]*(1-$E$2),2),"")</f>
        <v/>
      </c>
      <c r="F47" s="30"/>
    </row>
    <row r="48" spans="1:6" ht="45">
      <c r="A48" s="8" t="s">
        <v>42</v>
      </c>
      <c r="B48" s="6" t="s">
        <v>43</v>
      </c>
      <c r="C48" s="12" t="str">
        <f ca="1">IFERROR(__xludf.DUMMYFUNCTION("""COMPUTED_VALUE"""),"Ліцензійне програмне забезпечення для контролю та керування IP пристроями. ПЗ встановлюється 15 відповідний сервер і є основою всієї IP системи. У комплекті із серверною ліцензією йдуть 20 клієнтських ліцензій.")</f>
        <v>Ліцензійне програмне забезпечення для контролю та керування IP пристроями. ПЗ встановлюється 15 відповідний сервер і є основою всієї IP системи. У комплекті із серверною ліцензією йдуть 20 клієнтських ліцензій.</v>
      </c>
      <c r="D48" s="23" t="s">
        <v>85</v>
      </c>
      <c r="E48" s="23" t="s">
        <v>82</v>
      </c>
      <c r="F48" s="33"/>
    </row>
    <row r="49" spans="1:6" ht="60">
      <c r="A49" s="8" t="s">
        <v>42</v>
      </c>
      <c r="B49" s="6" t="s">
        <v>44</v>
      </c>
      <c r="C49" s="12" t="str">
        <f ca="1">IFERROR(__xludf.DUMMYFUNCTION("""COMPUTED_VALUE"""),"Мережевий адаптер (плеєр) із вбудованим автономним сховищем контенту. Мережевий порт RJ45, COM-порт для прямого підключення ПК, лінійний вихід (індустріальні термінали під затискач), вихід керування живленням підсилювача. Маса 0,6 кг. Розміри 187 х 139 х "&amp;"60 мм.")</f>
        <v>Мережевий адаптер (плеєр) із вбудованим автономним сховищем контенту. Мережевий порт RJ45, COM-порт для прямого підключення ПК, лінійний вихід (індустріальні термінали під затискач), вихід керування живленням підсилювача. Маса 0,6 кг. Розміри 187 х 139 х 60 мм.</v>
      </c>
      <c r="D49" s="23" t="s">
        <v>82</v>
      </c>
      <c r="E49" s="23" t="s">
        <v>82</v>
      </c>
      <c r="F49" s="33"/>
    </row>
    <row r="50" spans="1:6" ht="60">
      <c r="A50" s="8" t="s">
        <v>42</v>
      </c>
      <c r="B50" s="6" t="s">
        <v>45</v>
      </c>
      <c r="C50" s="12" t="str">
        <f ca="1">IFERROR(__xludf.DUMMYFUNCTION("""COMPUTED_VALUE"""),"IP мікрофонна консоль. Працює у складі IP системи при включеному сервері. Налаштовується за допомогою IPN-20PAS. Забезпечує дуплексний зв'язок з IP-пристроями. Діапазон ефективно відтворюваних частот 80 Гц – 17 кГц. Живлення 24 В. Маса 1,05 кг. Розміри 22"&amp;"0 х 145 х 50.")</f>
        <v>IP мікрофонна консоль. Працює у складі IP системи при включеному сервері. Налаштовується за допомогою IPN-20PAS. Забезпечує дуплексний зв'язок з IP-пристроями. Діапазон ефективно відтворюваних частот 80 Гц – 17 кГц. Живлення 24 В. Маса 1,05 кг. Розміри 220 х 145 х 50.</v>
      </c>
      <c r="D50" s="23" t="s">
        <v>82</v>
      </c>
      <c r="E50" s="23" t="s">
        <v>82</v>
      </c>
      <c r="F50" s="33"/>
    </row>
    <row r="51" spans="1:6">
      <c r="A51" s="8" t="s">
        <v>46</v>
      </c>
      <c r="B51" s="9" t="s">
        <v>101</v>
      </c>
      <c r="C51" s="10"/>
      <c r="D51" s="14"/>
      <c r="E51" s="14" t="str">
        <f>IF(IPA[[#This Row],[Ціна]]&gt;0,ROUND(IPA[[#This Row],[Ціна]]*(1-$E$2),2),"")</f>
        <v/>
      </c>
      <c r="F51" s="30"/>
    </row>
    <row r="52" spans="1:6" ht="75">
      <c r="A52" s="8" t="s">
        <v>46</v>
      </c>
      <c r="B52" s="6" t="s">
        <v>47</v>
      </c>
      <c r="C52" s="12" t="str">
        <f ca="1">IFERROR(__xludf.DUMMYFUNCTION("""COMPUTED_VALUE"""),"Блок вибору зони. 10 зон. Можливість розширення системи до 300 зон. 2 канали входів, 2 канали виходів. Макс. Потужність 1 зони 500 Вт. 2 мікрофонні входи, 2 лінійні входи, 1 лінійний аудіовиход. Вбудований сигнал привернення уваги. 2 роз'єми RJ45 для дода"&amp;"ткових блоків. DIP-перемикач для встановлення адреси. Живлення 220 В. Споживана потужність 40 Вт. Маса 4,6 кг. Розміри 484 х 303 х 88.")</f>
        <v>Блок вибору зони. 10 зон. Можливість розширення системи до 300 зон. 2 канали входів, 2 канали виходів. Макс. Потужність 1 зони 500 Вт. 2 мікрофонні входи, 2 лінійні входи, 1 лінійний аудіовиход. Вбудований сигнал привернення уваги. 2 роз'єми RJ45 для додаткових блоків. DIP-перемикач для встановлення адреси. Живлення 220 В. Споживана потужність 40 Вт. Маса 4,6 кг. Розміри 484 х 303 х 88.</v>
      </c>
      <c r="D52" s="24">
        <v>467.2</v>
      </c>
      <c r="E52" s="24">
        <f>IF(IPA[[#This Row],[Ціна]]&gt;0,ROUND(IPA[[#This Row],[Ціна]]*(1-$E$2),2),"")</f>
        <v>467.2</v>
      </c>
      <c r="F52" s="32"/>
    </row>
    <row r="53" spans="1:6" ht="75">
      <c r="A53" s="8" t="s">
        <v>46</v>
      </c>
      <c r="B53" s="6" t="s">
        <v>48</v>
      </c>
      <c r="C53" s="12" t="str">
        <f ca="1">IFERROR(__xludf.DUMMYFUNCTION("""COMPUTED_VALUE"""),"Виносна мікрофонна консоль (для IPC-P10Z). Підтримує 16 блоків вибору зон (160 зон). Лінійний вхід (роз'єм JACK 6.3), лінійний вихід (роз'єм JACK 6.3). 16 мікрофонних консолей може одночасно підключатися до системи. Перемикач для встановлення адреси. Вико"&amp;"ристовує мікрофон типу конденсатора. Максимальна віддаленість консолі від блоку – 1 км. Живлення 24 В. Споживана потужність 10 Вт. Маса 1,25 кг. Розміри 220 х 142,7 х 51,5.")</f>
        <v>Виносна мікрофонна консоль (для IPC-P10Z). Підтримує 16 блоків вибору зон (160 зон). Лінійний вхід (роз'єм JACK 6.3), лінійний вихід (роз'єм JACK 6.3). 16 мікрофонних консолей може одночасно підключатися до системи. Перемикач для встановлення адреси. Використовує мікрофон типу конденсатора. Максимальна віддаленість консолі від блоку – 1 км. Живлення 24 В. Споживана потужність 10 Вт. Маса 1,25 кг. Розміри 220 х 142,7 х 51,5.</v>
      </c>
      <c r="D53" s="24">
        <v>309.38</v>
      </c>
      <c r="E53" s="24">
        <f>IF(IPA[[#This Row],[Ціна]]&gt;0,ROUND(IPA[[#This Row],[Ціна]]*(1-$E$2),2),"")</f>
        <v>309.38</v>
      </c>
      <c r="F53" s="32"/>
    </row>
    <row r="54" spans="1:6" ht="75">
      <c r="A54" s="8" t="s">
        <v>46</v>
      </c>
      <c r="B54" s="6" t="s">
        <v>49</v>
      </c>
      <c r="C54" s="12" t="str">
        <f ca="1">IFERROR(__xludf.DUMMYFUNCTION("""COMPUTED_VALUE"""),"Блок тривожних повідомлень Запис повідомлень через мікрофонний (MIC) чи лінійний (LINE) вхід. 2 режими роботи блоку: відтворення попередньо записаних тривожних повідомлень та передача сигналу тривоги («СИРЕНА»). Тривалість записаного повідомлення 2 хв. Ві"&amp;"д 1 до 6 повторів повідомлення. Живлення 220 В. Споживана потужність 30 Вт. Маса 4 кг. Розміри 484 х 209 х 44.")</f>
        <v>Блок тривожних повідомлень Запис повідомлень через мікрофонний (MIC) чи лінійний (LINE) вхід. 2 режими роботи блоку: відтворення попередньо записаних тривожних повідомлень та передача сигналу тривоги («СИРЕНА»). Тривалість записаного повідомлення 2 хв. Від 1 до 6 повторів повідомлення. Живлення 220 В. Споживана потужність 30 Вт. Маса 4 кг. Розміри 484 х 209 х 44.</v>
      </c>
      <c r="D54" s="13">
        <v>357.5</v>
      </c>
      <c r="E54" s="13">
        <f>IF(IPA[[#This Row],[Ціна]]&gt;0,ROUND(IPA[[#This Row],[Ціна]]*(1-$E$2),2),"")</f>
        <v>357.5</v>
      </c>
      <c r="F54" s="32"/>
    </row>
    <row r="55" spans="1:6" ht="90">
      <c r="A55" s="8" t="s">
        <v>46</v>
      </c>
      <c r="B55" s="6" t="s">
        <v>50</v>
      </c>
      <c r="C55" s="12" t="str">
        <f ca="1">IFERROR(__xludf.DUMMYFUNCTION("""COMPUTED_VALUE"""),"Блок керування евакуацією. Автоматичний та ручний режим роботи. Мікрофонний вхід. Лінійний вхід для підключення джерел фонової музики. Регулятори рівнів сигналів. Виходи – 24 В для керування реле в регуляторах гучності під час пожежного сповіщення. Керуюч"&amp;"і виходи – 24 В для сигналізації про зміну режиму роботи контролера. Вбудований таймер, який керує включенням режиму евакуації. Лінійний вхід для підключення підсилювачів. Живлення 220 В / 24 В. Споживана потужність 15 Вт. Маса 2,5 кг. Розміри 484 х 209 х"&amp;" 44.")</f>
        <v>Блок керування евакуацією. Автоматичний та ручний режим роботи. Мікрофонний вхід. Лінійний вхід для підключення джерел фонової музики. Регулятори рівнів сигналів. Виходи – 24 В для керування реле в регуляторах гучності під час пожежного сповіщення. Керуючі виходи – 24 В для сигналізації про зміну режиму роботи контролера. Вбудований таймер, який керує включенням режиму евакуації. Лінійний вхід для підключення підсилювачів. Живлення 220 В / 24 В. Споживана потужність 15 Вт. Маса 2,5 кг. Розміри 484 х 209 х 44.</v>
      </c>
      <c r="D55" s="13">
        <v>356.4</v>
      </c>
      <c r="E55" s="13">
        <f>IF(IPA[[#This Row],[Ціна]]&gt;0,ROUND(IPA[[#This Row],[Ціна]]*(1-$E$2),2),"")</f>
        <v>356.4</v>
      </c>
      <c r="F55" s="33"/>
    </row>
    <row r="56" spans="1:6" ht="90">
      <c r="A56" s="8" t="s">
        <v>46</v>
      </c>
      <c r="B56" s="6" t="s">
        <v>51</v>
      </c>
      <c r="C56" s="12" t="str">
        <f ca="1">IFERROR(__xludf.DUMMYFUNCTION("""COMPUTED_VALUE"""),"Контролер системи оповіщення. 30 зон. Можливість розширення системи до 300 зон. Вбудованний програвач тривожних повідомлень, матриця тривожних входів. Можливість розповсюдження різних повідомлень у різних зонах оповіщення. Режими тривожного сповіщення: тр"&amp;"ансляція повідомлень у всі зони одночасно, трансляція у певні зони, трансляція до групи зони. SD-карта на 1 ГБ для запису повідомлень у комплекті. Живлення 220 В. Споживана потужність 15 Вт. Маса 5 кг. Розміри 484 х 302 х 88.")</f>
        <v>Контролер системи оповіщення. 30 зон. Можливість розширення системи до 300 зон. Вбудованний програвач тривожних повідомлень, матриця тривожних входів. Можливість розповсюдження різних повідомлень у різних зонах оповіщення. Режими тривожного сповіщення: трансляція повідомлень у всі зони одночасно, трансляція у певні зони, трансляція до групи зони. SD-карта на 1 ГБ для запису повідомлень у комплекті. Живлення 220 В. Споживана потужність 15 Вт. Маса 5 кг. Розміри 484 х 302 х 88.</v>
      </c>
      <c r="D56" s="24">
        <v>809.28</v>
      </c>
      <c r="E56" s="24">
        <f>IF(IPA[[#This Row],[Ціна]]&gt;0,ROUND(IPA[[#This Row],[Ціна]]*(1-$E$2),2),"")</f>
        <v>809.28</v>
      </c>
      <c r="F56" s="32"/>
    </row>
    <row r="57" spans="1:6" ht="60">
      <c r="A57" s="8" t="s">
        <v>46</v>
      </c>
      <c r="B57" s="6" t="s">
        <v>52</v>
      </c>
      <c r="C57" s="12" t="str">
        <f ca="1">IFERROR(__xludf.DUMMYFUNCTION("""COMPUTED_VALUE"""),"Розподiльник живлення. 16 виходів живлення 220 В (10 А). Максимально допустиме навантаження на блок 10 кВА. 1 керуючий вхід 24 В. 1 керуючий вихід 24 В. 1 керуючий релейний вхід, 1 керуючий релейний вихід. Живлення 220 В. Споживана потужність 50 Вт. Маса "&amp;"5,6 кг. Розміри 484 х 303 х 88.")</f>
        <v>Розподiльник живлення. 16 виходів живлення 220 В (10 А). Максимально допустиме навантаження на блок 10 кВА. 1 керуючий вхід 24 В. 1 керуючий вихід 24 В. 1 керуючий релейний вхід, 1 керуючий релейний вихід. Живлення 220 В. Споживана потужність 50 Вт. Маса 5,6 кг. Розміри 484 х 303 х 88.</v>
      </c>
      <c r="D57" s="24">
        <v>300.76</v>
      </c>
      <c r="E57" s="24">
        <f>IF(IPA[[#This Row],[Ціна]]&gt;0,ROUND(IPA[[#This Row],[Ціна]]*(1-$E$2),2),"")</f>
        <v>300.76</v>
      </c>
      <c r="F57" s="32"/>
    </row>
    <row r="58" spans="1:6" ht="75">
      <c r="A58" s="8" t="s">
        <v>46</v>
      </c>
      <c r="B58" s="6" t="s">
        <v>53</v>
      </c>
      <c r="C58" s="12" t="str">
        <f ca="1">IFERROR(__xludf.DUMMYFUNCTION("""COMPUTED_VALUE"""),"Блок контролю ліній гучномовців 70 В/100 В. 10 входів, 10 виходів. Контролює опір лінії гучномовців, контроль навантаження на лінію, контроль обриву та короткого замикання лінії. Звукова та світлова сигналізація несправності лінії. Максимальна потужність "&amp;"контрольованої лінії 2000 Вт. Живлення 220/24 В. Споживана потужність 20 Вт. Маса 5,5 кг. Розміри 484 х 303 х 88.")</f>
        <v>Блок контролю ліній гучномовців 70 В/100 В. 10 входів, 10 виходів. Контролює опір лінії гучномовців, контроль навантаження на лінію, контроль обриву та короткого замикання лінії. Звукова та світлова сигналізація несправності лінії. Максимальна потужність контрольованої лінії 2000 Вт. Живлення 220/24 В. Споживана потужність 20 Вт. Маса 5,5 кг. Розміри 484 х 303 х 88.</v>
      </c>
      <c r="D58" s="24">
        <v>574.71</v>
      </c>
      <c r="E58" s="24">
        <f>IF(IPA[[#This Row],[Ціна]]&gt;0,ROUND(IPA[[#This Row],[Ціна]]*(1-$E$2),2),"")</f>
        <v>574.71</v>
      </c>
      <c r="F58" s="33"/>
    </row>
    <row r="59" spans="1:6" ht="105">
      <c r="A59" s="8"/>
      <c r="B59" s="12" t="str">
        <f ca="1">IFERROR(__xludf.DUMMYFUNCTION("""COMPUTED_VALUE"""),"IPN-MS")</f>
        <v>IPN-MS</v>
      </c>
      <c r="C59" s="12" t="str">
        <f ca="1">IFERROR(__xludf.DUMMYFUNCTION("""COMPUTED_VALUE"""),"Пульт диспетчера. Для спілкування з абонентом використовується мікрофон ручний (у комплекті). Підтримує 24 панелі виклику диспетчера IPN-DS. Має 4 входи RS485 з роз'ємом RJ45 для ліній у кожну з яких можна підключити до 6 панелей виклику. При загальній до"&amp;"вжині лінії до 300 метрів панелі виклику живляться від даного блоку. При загальній довжині лінії з панелями виклику від 300 до 1000 метрів для живлення панелей необхідно використовувати мережеві адаптери - 24В (не входять в комплект). Блок встановлюється "&amp;"як на стіл так і в 19"" стійку. Маса 5,2 кг. Розміри 445 х 190 х 132.")</f>
        <v>Пульт диспетчера. Для спілкування з абонентом використовується мікрофон ручний (у комплекті). Підтримує 24 панелі виклику диспетчера IPN-DS. Має 4 входи RS485 з роз'ємом RJ45 для ліній у кожну з яких можна підключити до 6 панелей виклику. При загальній довжині лінії до 300 метрів панелі виклику живляться від даного блоку. При загальній довжині лінії з панелями виклику від 300 до 1000 метрів для живлення панелей необхідно використовувати мережеві адаптери - 24В (не входять в комплект). Блок встановлюється як на стіл так і в 19" стійку. Маса 5,2 кг. Розміри 445 х 190 х 132.</v>
      </c>
      <c r="D59" s="27">
        <v>809.7</v>
      </c>
      <c r="E59" s="24">
        <f>IF(IPA[[#This Row],[Ціна]]&gt;0,ROUND(IPA[[#This Row],[Ціна]]*(1-$E$2),2),"")</f>
        <v>809.7</v>
      </c>
      <c r="F59" s="35"/>
    </row>
    <row r="60" spans="1:6" ht="105">
      <c r="A60" s="8"/>
      <c r="B60" s="12" t="str">
        <f ca="1">IFERROR(__xludf.DUMMYFUNCTION("""COMPUTED_VALUE"""),"IPN-DS")</f>
        <v>IPN-DS</v>
      </c>
      <c r="C60" s="12" t="str">
        <f ca="1">IFERROR(__xludf.DUMMYFUNCTION("""COMPUTED_VALUE"""),"Панель виклику диспетчера. До 24 панелей може бути підключено на один пульт диспетчера IPN-MS (до 6 панелей на кожну з 4 ліній) по RS485 через наскрізний роз'єм RJ45. При загальній довжині лінії до 300 метрів панелі живляться від пульта диспетчера. При за"&amp;"гальній довжині лінії з панелями виклику від 300 до 1000 метрів для живлення панелей необхідно використовувати мережеві адаптери - 24В (не входять в комплект). Панель має корпус для врізного монтажу. Для накладного монтажу необхідно використовувати додатк"&amp;"ову накладку IPN-IB (не входить у комплект). Вага 0,56 кг. Розміри 156 х 100 х 45")</f>
        <v>Панель виклику диспетчера. До 24 панелей може бути підключено на один пульт диспетчера IPN-MS (до 6 панелей на кожну з 4 ліній) по RS485 через наскрізний роз'єм RJ45. При загальній довжині лінії до 300 метрів панелі живляться від пульта диспетчера. При загальній довжині лінії з панелями виклику від 300 до 1000 метрів для живлення панелей необхідно використовувати мережеві адаптери - 24В (не входять в комплект). Панель має корпус для врізного монтажу. Для накладного монтажу необхідно використовувати додаткову накладку IPN-IB (не входить у комплект). Вага 0,56 кг. Розміри 156 х 100 х 45</v>
      </c>
      <c r="D60" s="27">
        <v>198.29</v>
      </c>
      <c r="E60" s="24">
        <f>IF(IPA[[#This Row],[Ціна]]&gt;0,ROUND(IPA[[#This Row],[Ціна]]*(1-$E$2),2),"")</f>
        <v>198.29</v>
      </c>
      <c r="F60" s="35"/>
    </row>
    <row r="61" spans="1:6">
      <c r="A61" s="8"/>
      <c r="B61" s="12" t="str">
        <f ca="1">IFERROR(__xludf.DUMMYFUNCTION("""COMPUTED_VALUE"""),"IPN-IB")</f>
        <v>IPN-IB</v>
      </c>
      <c r="C61" s="12" t="str">
        <f ca="1">IFERROR(__xludf.DUMMYFUNCTION("""COMPUTED_VALUE"""),"Накладка для монтажу панелі виклику диспетчера IPN-DS.")</f>
        <v>Накладка для монтажу панелі виклику диспетчера IPN-DS.</v>
      </c>
      <c r="D61" s="27">
        <v>13.04</v>
      </c>
      <c r="E61" s="24">
        <f>IF(IPA[[#This Row],[Ціна]]&gt;0,ROUND(IPA[[#This Row],[Ціна]]*(1-$E$2),2),"")</f>
        <v>13.04</v>
      </c>
      <c r="F61" s="35"/>
    </row>
    <row r="62" spans="1:6">
      <c r="A62" s="8" t="s">
        <v>54</v>
      </c>
      <c r="B62" s="9" t="s">
        <v>102</v>
      </c>
      <c r="C62" s="10"/>
      <c r="D62" s="14"/>
      <c r="E62" s="14" t="str">
        <f>IF(IPA[[#This Row],[Ціна]]&gt;0,ROUND(IPA[[#This Row],[Ціна]]*(1-$E$2),2),"")</f>
        <v/>
      </c>
      <c r="F62" s="30"/>
    </row>
    <row r="63" spans="1:6" ht="45">
      <c r="A63" s="8" t="s">
        <v>54</v>
      </c>
      <c r="B63" s="6" t="s">
        <v>55</v>
      </c>
      <c r="C63" s="12" t="str">
        <f ca="1">IFERROR(__xludf.DUMMYFUNCTION("""COMPUTED_VALUE"""),"Стельовий гучномовець. Вихідна потужність: 1,5 Вт; 3 Вт; 6 Вт (100 В) та 0,75 Вт; 1,5 Вт; 3 Вт (70 В). 92 – 102 дБ. 110 Гц – 14,5 кГц. Діаметр монтажного отвору 170 мм. Фіксується пружинними зовами. Маса 0,8 кг. Розміри 200х55.")</f>
        <v>Стельовий гучномовець. Вихідна потужність: 1,5 Вт; 3 Вт; 6 Вт (100 В) та 0,75 Вт; 1,5 Вт; 3 Вт (70 В). 92 – 102 дБ. 110 Гц – 14,5 кГц. Діаметр монтажного отвору 170 мм. Фіксується пружинними зовами. Маса 0,8 кг. Розміри 200х55.</v>
      </c>
      <c r="D63" s="13">
        <v>13.69</v>
      </c>
      <c r="E63" s="13">
        <f>IF(IPA[[#This Row],[Ціна]]&gt;0,ROUND(IPA[[#This Row],[Ціна]]*(1-$E$2),2),"")</f>
        <v>13.69</v>
      </c>
      <c r="F63" s="33"/>
    </row>
    <row r="64" spans="1:6" ht="45">
      <c r="A64" s="8" t="s">
        <v>54</v>
      </c>
      <c r="B64" s="6" t="s">
        <v>56</v>
      </c>
      <c r="C64" s="12" t="str">
        <f ca="1">IFERROR(__xludf.DUMMYFUNCTION("""COMPUTED_VALUE"""),"Стельовий гучномовець. Вихідна потужність: 1,5 Вт; 3 Вт; 6 Вт (100 В) та 0,75 Вт; 1,5 Вт; 3 Вт (70 В). 89 – 96 дБ. 80 Гц – 16 кГц. Діаметр монтажного отвору 145 мм. Фіксується пружинними засовами. Вага 0,75 кг. Розміри 170х80.")</f>
        <v>Стельовий гучномовець. Вихідна потужність: 1,5 Вт; 3 Вт; 6 Вт (100 В) та 0,75 Вт; 1,5 Вт; 3 Вт (70 В). 89 – 96 дБ. 80 Гц – 16 кГц. Діаметр монтажного отвору 145 мм. Фіксується пружинними засовами. Вага 0,75 кг. Розміри 170х80.</v>
      </c>
      <c r="D64" s="24">
        <v>16.559999999999999</v>
      </c>
      <c r="E64" s="24">
        <f>IF(IPA[[#This Row],[Ціна]]&gt;0,ROUND(IPA[[#This Row],[Ціна]]*(1-$E$2),2),"")</f>
        <v>16.559999999999999</v>
      </c>
      <c r="F64" s="33"/>
    </row>
    <row r="65" spans="1:6" ht="45">
      <c r="A65" s="8" t="s">
        <v>54</v>
      </c>
      <c r="B65" s="38" t="s">
        <v>57</v>
      </c>
      <c r="C65" s="39" t="str">
        <f ca="1">IFERROR(__xludf.DUMMYFUNCTION("""COMPUTED_VALUE"""),"Стельовий гучномовець. Вихідна потужність: 20 Вт (100 В) та 10 Вт (70 В). 89 – 102 дБ. 100 Гц – 20 кГц. Діаметр монтажного отвору 180 мм. Фіксується пружинними засовами. Маса 1,8 кг. Розміри 213 х 135.")</f>
        <v>Стельовий гучномовець. Вихідна потужність: 20 Вт (100 В) та 10 Вт (70 В). 89 – 102 дБ. 100 Гц – 20 кГц. Діаметр монтажного отвору 180 мм. Фіксується пружинними засовами. Маса 1,8 кг. Розміри 213 х 135.</v>
      </c>
      <c r="D65" s="41">
        <v>54.76</v>
      </c>
      <c r="E65" s="41">
        <f>IF(IPA[[#This Row],[Ціна]]&gt;0,ROUND(IPA[[#This Row],[Ціна]]*(1-$E$2),2),"")</f>
        <v>54.76</v>
      </c>
      <c r="F65" s="32" t="s">
        <v>108</v>
      </c>
    </row>
    <row r="66" spans="1:6">
      <c r="A66" s="8" t="s">
        <v>58</v>
      </c>
      <c r="B66" s="9" t="s">
        <v>103</v>
      </c>
      <c r="C66" s="10"/>
      <c r="D66" s="14"/>
      <c r="E66" s="14" t="str">
        <f>IF(IPA[[#This Row],[Ціна]]&gt;0,ROUND(IPA[[#This Row],[Ціна]]*(1-$E$2),2),"")</f>
        <v/>
      </c>
      <c r="F66" s="30"/>
    </row>
    <row r="67" spans="1:6" ht="45">
      <c r="A67" s="8" t="s">
        <v>58</v>
      </c>
      <c r="B67" s="6" t="s">
        <v>59</v>
      </c>
      <c r="C67" s="12" t="str">
        <f ca="1">IFERROR(__xludf.DUMMYFUNCTION("""COMPUTED_VALUE"""),"Компактний вологозахищений настінний гучномовець. Вихідна потужність: 1,5 Вт; 3 Вт (100 В) та 0,75 Вт; 1,5 Вт (70 В). 89 – 94 дБ. 80 Гц – 16 кГц. Навішується на гачок. Маса 0,5кг. Розміри 120 х 120 х 60.")</f>
        <v>Компактний вологозахищений настінний гучномовець. Вихідна потужність: 1,5 Вт; 3 Вт (100 В) та 0,75 Вт; 1,5 Вт (70 В). 89 – 94 дБ. 80 Гц – 16 кГц. Навішується на гачок. Маса 0,5кг. Розміри 120 х 120 х 60.</v>
      </c>
      <c r="D67" s="13">
        <v>19.059999999999999</v>
      </c>
      <c r="E67" s="13">
        <f>IF(IPA[[#This Row],[Ціна]]&gt;0,ROUND(IPA[[#This Row],[Ціна]]*(1-$E$2),2),"")</f>
        <v>19.059999999999999</v>
      </c>
      <c r="F67" s="33"/>
    </row>
    <row r="68" spans="1:6" ht="30">
      <c r="A68" s="8" t="s">
        <v>58</v>
      </c>
      <c r="B68" s="6" t="s">
        <v>60</v>
      </c>
      <c r="C68" s="12" t="str">
        <f ca="1">IFERROR(__xludf.DUMMYFUNCTION("""COMPUTED_VALUE"""),"Настінний гучномовець. Вихідна потужність: 1,5 Вт; 3 Вт; 6 Вт (100 В) та 0,75 Вт; 1,5 Вт; 3 Вт (70 В). 90 – 98 дБ. 90 Гц – 18 кГц. Навішується на гачок. Маса 1,3 кг. Розміри 285 х 200 х 85.")</f>
        <v>Настінний гучномовець. Вихідна потужність: 1,5 Вт; 3 Вт; 6 Вт (100 В) та 0,75 Вт; 1,5 Вт; 3 Вт (70 В). 90 – 98 дБ. 90 Гц – 18 кГц. Навішується на гачок. Маса 1,3 кг. Розміри 285 х 200 х 85.</v>
      </c>
      <c r="D68" s="24">
        <v>37.130000000000003</v>
      </c>
      <c r="E68" s="24">
        <f>IF(IPA[[#This Row],[Ціна]]&gt;0,ROUND(IPA[[#This Row],[Ціна]]*(1-$E$2),2),"")</f>
        <v>37.130000000000003</v>
      </c>
      <c r="F68" s="33"/>
    </row>
    <row r="69" spans="1:6" ht="30">
      <c r="A69" s="8" t="s">
        <v>58</v>
      </c>
      <c r="B69" s="6" t="s">
        <v>61</v>
      </c>
      <c r="C69" s="12" t="str">
        <f ca="1">IFERROR(__xludf.DUMMYFUNCTION("""COMPUTED_VALUE"""),"Настінний гучномовець. Вихідна потужність: 3 Вт; 6 Вт; 10 Вт (100 В) та 1,5 Вт; 3 Вт; 5 Вт (70 В). 91 – 101 дБ. 130 Гц – 16 кГц. Навішується на гачок. Маса 1,4 кг. Розміри 185 х 275 х 105")</f>
        <v>Настінний гучномовець. Вихідна потужність: 3 Вт; 6 Вт; 10 Вт (100 В) та 1,5 Вт; 3 Вт; 5 Вт (70 В). 91 – 101 дБ. 130 Гц – 16 кГц. Навішується на гачок. Маса 1,4 кг. Розміри 185 х 275 х 105</v>
      </c>
      <c r="D69" s="13">
        <v>26.65</v>
      </c>
      <c r="E69" s="13">
        <f>IF(IPA[[#This Row],[Ціна]]&gt;0,ROUND(IPA[[#This Row],[Ціна]]*(1-$E$2),2),"")</f>
        <v>26.65</v>
      </c>
      <c r="F69" s="33"/>
    </row>
    <row r="70" spans="1:6" ht="45">
      <c r="A70" s="8" t="s">
        <v>58</v>
      </c>
      <c r="B70" s="6" t="s">
        <v>62</v>
      </c>
      <c r="C70" s="12" t="str">
        <f ca="1">IFERROR(__xludf.DUMMYFUNCTION("""COMPUTED_VALUE"""),"Настінний гучномовець. Вихідна потужність: 2,5 Вт; 5 Вт; 10 Вт; 20 Вт (100 В) та 1,25 Вт; 2,5 Вт; 5 Вт; 10 Вт; 20 Вт (70 В). 86 – 99 дБ. 120 Гц – 18 кГц. Кріпиться кронштейном до стіни. Маса 2,3 кг. Розміри 276 х 170 х 170. Чорний.")</f>
        <v>Настінний гучномовець. Вихідна потужність: 2,5 Вт; 5 Вт; 10 Вт; 20 Вт (100 В) та 1,25 Вт; 2,5 Вт; 5 Вт; 10 Вт; 20 Вт (70 В). 86 – 99 дБ. 120 Гц – 18 кГц. Кріпиться кронштейном до стіни. Маса 2,3 кг. Розміри 276 х 170 х 170. Чорний.</v>
      </c>
      <c r="D70" s="24">
        <v>66.58</v>
      </c>
      <c r="E70" s="24">
        <f>IF(IPA[[#This Row],[Ціна]]&gt;0,ROUND(IPA[[#This Row],[Ціна]]*(1-$E$2),2),"")</f>
        <v>66.58</v>
      </c>
      <c r="F70" s="32"/>
    </row>
    <row r="71" spans="1:6" ht="45">
      <c r="A71" s="8" t="s">
        <v>58</v>
      </c>
      <c r="B71" s="6" t="s">
        <v>63</v>
      </c>
      <c r="C71" s="12" t="str">
        <f ca="1">IFERROR(__xludf.DUMMYFUNCTION("""COMPUTED_VALUE"""),"Настінний гучномовець. Вихідна потужність: 2,5 Вт; 5 Вт; 10 Вт; 20 Вт (100 В) та 1,25 Вт; 2,5 Вт; 5 Вт; 10 Вт; 20 Вт (70 В). 86 – 99 дБ. 120 Гц – 18 кГц. Кріпиться кронштейном до стіни. Маса 2,3 кг. Розміри 276 х 170 х 170. Білий.")</f>
        <v>Настінний гучномовець. Вихідна потужність: 2,5 Вт; 5 Вт; 10 Вт; 20 Вт (100 В) та 1,25 Вт; 2,5 Вт; 5 Вт; 10 Вт; 20 Вт (70 В). 86 – 99 дБ. 120 Гц – 18 кГц. Кріпиться кронштейном до стіни. Маса 2,3 кг. Розміри 276 х 170 х 170. Білий.</v>
      </c>
      <c r="D71" s="24">
        <v>66.58</v>
      </c>
      <c r="E71" s="24">
        <f>IF(IPA[[#This Row],[Ціна]]&gt;0,ROUND(IPA[[#This Row],[Ціна]]*(1-$E$2),2),"")</f>
        <v>66.58</v>
      </c>
      <c r="F71" s="32"/>
    </row>
    <row r="72" spans="1:6" ht="45">
      <c r="A72" s="8" t="s">
        <v>58</v>
      </c>
      <c r="B72" s="6" t="s">
        <v>64</v>
      </c>
      <c r="C72" s="12" t="str">
        <f ca="1">IFERROR(__xludf.DUMMYFUNCTION("""COMPUTED_VALUE"""),"Металевий гучномовець вуличного виконання. Вихідна потужність: 12,5 Вт; 25 Вт (100 В) та 6,2 Вт; 12,5 Вт (70 В). 91 – 103 дБ. 130 Гц – 16 кГц. Кріпиться кронштейном до стіни. Маса 3,3 кг. Розміри 153 х 123 х 415")</f>
        <v>Металевий гучномовець вуличного виконання. Вихідна потужність: 12,5 Вт; 25 Вт (100 В) та 6,2 Вт; 12,5 Вт (70 В). 91 – 103 дБ. 130 Гц – 16 кГц. Кріпиться кронштейном до стіни. Маса 3,3 кг. Розміри 153 х 123 х 415</v>
      </c>
      <c r="D72" s="13">
        <v>65.22</v>
      </c>
      <c r="E72" s="13">
        <f>IF(IPA[[#This Row],[Ціна]]&gt;0,ROUND(IPA[[#This Row],[Ціна]]*(1-$E$2),2),"")</f>
        <v>65.22</v>
      </c>
      <c r="F72" s="33"/>
    </row>
    <row r="73" spans="1:6" ht="45">
      <c r="A73" s="8" t="s">
        <v>58</v>
      </c>
      <c r="B73" s="6" t="s">
        <v>65</v>
      </c>
      <c r="C73" s="12" t="str">
        <f ca="1">IFERROR(__xludf.DUMMYFUNCTION("""COMPUTED_VALUE"""),"Металевий гучномовець вуличного виконання. Вихідна потужність: 22,5 Вт; 45 Вт (100 В) та 11,2 Вт; 22,5 Вт (70 В). 92 – 109 дБ. 130 Гц – 16 кГц. Кріпиться кронштейном до стіни. Маса 5,6 кг. Розміри 153 х 123 х 615")</f>
        <v>Металевий гучномовець вуличного виконання. Вихідна потужність: 22,5 Вт; 45 Вт (100 В) та 11,2 Вт; 22,5 Вт (70 В). 92 – 109 дБ. 130 Гц – 16 кГц. Кріпиться кронштейном до стіни. Маса 5,6 кг. Розміри 153 х 123 х 615</v>
      </c>
      <c r="D73" s="13">
        <v>104.33</v>
      </c>
      <c r="E73" s="13">
        <f>IF(IPA[[#This Row],[Ціна]]&gt;0,ROUND(IPA[[#This Row],[Ціна]]*(1-$E$2),2),"")</f>
        <v>104.33</v>
      </c>
      <c r="F73" s="33"/>
    </row>
    <row r="74" spans="1:6" ht="30">
      <c r="A74" s="8" t="s">
        <v>58</v>
      </c>
      <c r="B74" s="6" t="s">
        <v>66</v>
      </c>
      <c r="C74" s="12" t="str">
        <f ca="1">IFERROR(__xludf.DUMMYFUNCTION("""COMPUTED_VALUE"""),"Настінний двосмуговий динамік, вуфер 3""/твіттер 1"", вбудований трансформатор та настінний кронштейн, 25W/8Ω, 100V/15W-7.5W-3W-8Ω, 150-20'000Hz, білий")</f>
        <v>Настінний двосмуговий динамік, вуфер 3"/твіттер 1", вбудований трансформатор та настінний кронштейн, 25W/8Ω, 100V/15W-7.5W-3W-8Ω, 150-20'000Hz, білий</v>
      </c>
      <c r="D74" s="13">
        <v>49.16</v>
      </c>
      <c r="E74" s="13">
        <f>IF(IPA[[#This Row],[Ціна]]&gt;0,ROUND(IPA[[#This Row],[Ціна]]*(1-$E$2),2),"")</f>
        <v>49.16</v>
      </c>
      <c r="F74" s="33"/>
    </row>
    <row r="75" spans="1:6" ht="30">
      <c r="A75" s="8" t="s">
        <v>58</v>
      </c>
      <c r="B75" s="6" t="s">
        <v>67</v>
      </c>
      <c r="C75" s="12" t="str">
        <f ca="1">IFERROR(__xludf.DUMMYFUNCTION("""COMPUTED_VALUE"""),"Настінний двосмуговий динамік, вуфер 3""/ твіттер 1"", вбудований трансформатор і настінний кронштейн, 25W/8Ω, 100V/15W-7.5W-3W-8Ω, 150-20'000Hz, чорний")</f>
        <v>Настінний двосмуговий динамік, вуфер 3"/ твіттер 1", вбудований трансформатор і настінний кронштейн, 25W/8Ω, 100V/15W-7.5W-3W-8Ω, 150-20'000Hz, чорний</v>
      </c>
      <c r="D75" s="13">
        <v>49.16</v>
      </c>
      <c r="E75" s="13">
        <f>IF(IPA[[#This Row],[Ціна]]&gt;0,ROUND(IPA[[#This Row],[Ціна]]*(1-$E$2),2),"")</f>
        <v>49.16</v>
      </c>
      <c r="F75" s="33"/>
    </row>
    <row r="76" spans="1:6">
      <c r="A76" s="8" t="s">
        <v>68</v>
      </c>
      <c r="B76" s="9" t="s">
        <v>104</v>
      </c>
      <c r="C76" s="10"/>
      <c r="D76" s="14"/>
      <c r="E76" s="14" t="str">
        <f>IF(IPA[[#This Row],[Ціна]]&gt;0,ROUND(IPA[[#This Row],[Ціна]]*(1-$E$2),2),"")</f>
        <v/>
      </c>
      <c r="F76" s="30"/>
    </row>
    <row r="77" spans="1:6" ht="45">
      <c r="A77" s="8" t="s">
        <v>68</v>
      </c>
      <c r="B77" s="6" t="s">
        <v>69</v>
      </c>
      <c r="C77" s="12" t="str">
        <f ca="1">IFERROR(__xludf.DUMMYFUNCTION("""COMPUTED_VALUE"""),"Рупорний гучномовець для зовнішньої установки. Вихідна потужність: 10 Вт (8 Ом). 102 дБ. 250 Гц – 18 кГц. Ступінь захисту IP66. Кріпиться до монтажного кронштейна. Маса 0,5кг. Розміри 130х150.")</f>
        <v>Рупорний гучномовець для зовнішньої установки. Вихідна потужність: 10 Вт (8 Ом). 102 дБ. 250 Гц – 18 кГц. Ступінь захисту IP66. Кріпиться до монтажного кронштейна. Маса 0,5кг. Розміри 130х150.</v>
      </c>
      <c r="D77" s="13">
        <v>17.850000000000001</v>
      </c>
      <c r="E77" s="13">
        <f>IF(IPA[[#This Row],[Ціна]]&gt;0,ROUND(IPA[[#This Row],[Ціна]]*(1-$E$2),2),"")</f>
        <v>17.850000000000001</v>
      </c>
      <c r="F77" s="33"/>
    </row>
    <row r="78" spans="1:6" ht="45">
      <c r="A78" s="8" t="s">
        <v>68</v>
      </c>
      <c r="B78" s="6" t="s">
        <v>70</v>
      </c>
      <c r="C78" s="12" t="str">
        <f ca="1">IFERROR(__xludf.DUMMYFUNCTION("""COMPUTED_VALUE"""),"Рупорний гучномовець для зовнішньої установки. Вихідна потужність: 7,5 Вт, 15 Вт (100 В) та 3,75 Вт, 7,5 Вт (70 В). 103 – 106 дБ. 250 Гц – 8 кГц. Ступінь захисту IP66. Кріпиться до монтажного кронштейна. Маса 1,6 кг. Розміри 221 х 165 х 235.")</f>
        <v>Рупорний гучномовець для зовнішньої установки. Вихідна потужність: 7,5 Вт, 15 Вт (100 В) та 3,75 Вт, 7,5 Вт (70 В). 103 – 106 дБ. 250 Гц – 8 кГц. Ступінь захисту IP66. Кріпиться до монтажного кронштейна. Маса 1,6 кг. Розміри 221 х 165 х 235.</v>
      </c>
      <c r="D78" s="13">
        <v>38.58</v>
      </c>
      <c r="E78" s="13">
        <f>IF(IPA[[#This Row],[Ціна]]&gt;0,ROUND(IPA[[#This Row],[Ціна]]*(1-$E$2),2),"")</f>
        <v>38.58</v>
      </c>
      <c r="F78" s="33"/>
    </row>
    <row r="79" spans="1:6" ht="45">
      <c r="A79" s="8" t="s">
        <v>68</v>
      </c>
      <c r="B79" s="6" t="s">
        <v>71</v>
      </c>
      <c r="C79" s="12" t="str">
        <f ca="1">IFERROR(__xludf.DUMMYFUNCTION("""COMPUTED_VALUE"""),"Рупорний гучномовець для зовнішньої установки. Вихідна потужність: 30 Вт, 15 Вт (100 В) та 15, 7,5 Вт (70 В). 103 – 118 дБ. 300 Гц – 13 кГц. Ступінь захисту IP66. Кріпиться до монтажного кронштейна. Маса 2,1 кг. Розміри 282 х 210 х 290.")</f>
        <v>Рупорний гучномовець для зовнішньої установки. Вихідна потужність: 30 Вт, 15 Вт (100 В) та 15, 7,5 Вт (70 В). 103 – 118 дБ. 300 Гц – 13 кГц. Ступінь захисту IP66. Кріпиться до монтажного кронштейна. Маса 2,1 кг. Розміри 282 х 210 х 290.</v>
      </c>
      <c r="D79" s="13">
        <v>51.55</v>
      </c>
      <c r="E79" s="13">
        <f>IF(IPA[[#This Row],[Ціна]]&gt;0,ROUND(IPA[[#This Row],[Ціна]]*(1-$E$2),2),"")</f>
        <v>51.55</v>
      </c>
      <c r="F79" s="33"/>
    </row>
    <row r="80" spans="1:6" ht="45">
      <c r="A80" s="8" t="s">
        <v>68</v>
      </c>
      <c r="B80" s="6" t="s">
        <v>72</v>
      </c>
      <c r="C80" s="12" t="str">
        <f ca="1">IFERROR(__xludf.DUMMYFUNCTION("""COMPUTED_VALUE"""),"Рупорний динамік для зовнішньої установки. Вихідна потужність: 50 Вт (100 В) та 25 Вт (70 В). 108 – 125 дБ. 300 Гц – 8 кГц. Ступінь захисту IP66. Кріпиться до монтажного кронштейна. Маса 3,8 кг. Розміри 270 х 270 х 340.")</f>
        <v>Рупорний динамік для зовнішньої установки. Вихідна потужність: 50 Вт (100 В) та 25 Вт (70 В). 108 – 125 дБ. 300 Гц – 8 кГц. Ступінь захисту IP66. Кріпиться до монтажного кронштейна. Маса 3,8 кг. Розміри 270 х 270 х 340.</v>
      </c>
      <c r="D80" s="24">
        <v>125.56</v>
      </c>
      <c r="E80" s="24">
        <f>IF(IPA[[#This Row],[Ціна]]&gt;0,ROUND(IPA[[#This Row],[Ціна]]*(1-$E$2),2),"")</f>
        <v>125.56</v>
      </c>
      <c r="F80" s="32"/>
    </row>
    <row r="81" spans="1:6" ht="30">
      <c r="A81" s="8" t="s">
        <v>68</v>
      </c>
      <c r="B81" s="6" t="s">
        <v>73</v>
      </c>
      <c r="C81" s="12" t="str">
        <f ca="1">IFERROR(__xludf.DUMMYFUNCTION("""COMPUTED_VALUE"""),"Вуличний пластиковий рупор із вбудованим трансформтаором, IP66, 100V/15W-7.5W, 400-5000Hz, білий")</f>
        <v>Вуличний пластиковий рупор із вбудованим трансформтаором, IP66, 100V/15W-7.5W, 400-5000Hz, білий</v>
      </c>
      <c r="D81" s="13">
        <v>49.14</v>
      </c>
      <c r="E81" s="13">
        <f>IF(IPA[[#This Row],[Ціна]]&gt;0,ROUND(IPA[[#This Row],[Ціна]]*(1-$E$2),2),"")</f>
        <v>49.14</v>
      </c>
      <c r="F81" s="33"/>
    </row>
    <row r="82" spans="1:6">
      <c r="A82" s="8" t="s">
        <v>74</v>
      </c>
      <c r="B82" s="9" t="s">
        <v>107</v>
      </c>
      <c r="C82" s="10"/>
      <c r="D82" s="14"/>
      <c r="E82" s="14" t="str">
        <f>IF(IPA[[#This Row],[Ціна]]&gt;0,ROUND(IPA[[#This Row],[Ціна]]*(1-$E$2),2),"")</f>
        <v/>
      </c>
      <c r="F82" s="30"/>
    </row>
    <row r="83" spans="1:6" ht="30">
      <c r="A83" s="8" t="s">
        <v>74</v>
      </c>
      <c r="B83" s="15" t="s">
        <v>75</v>
      </c>
      <c r="C83" s="7" t="s">
        <v>106</v>
      </c>
      <c r="D83" s="16">
        <v>76.44</v>
      </c>
      <c r="E83" s="16">
        <f>IF(IPA[[#This Row],[Ціна]]&gt;0,ROUND(IPA[[#This Row],[Ціна]]*(1-$E$2),2),"")</f>
        <v>76.44</v>
      </c>
      <c r="F83" s="36"/>
    </row>
    <row r="84" spans="1:6">
      <c r="A84" s="17" t="s">
        <v>76</v>
      </c>
      <c r="B84" s="18" t="s">
        <v>105</v>
      </c>
      <c r="C84" s="10"/>
      <c r="D84" s="14"/>
      <c r="E84" s="14" t="str">
        <f>IF(IPA[[#This Row],[Ціна]]&gt;0,ROUND(IPA[[#This Row],[Ціна]]*(1-$E$2),2),"")</f>
        <v/>
      </c>
      <c r="F84" s="30"/>
    </row>
    <row r="85" spans="1:6">
      <c r="A85" s="8" t="s">
        <v>76</v>
      </c>
      <c r="B85" s="20" t="s">
        <v>77</v>
      </c>
      <c r="C85" s="7" t="str">
        <f ca="1">IFERROR(__xludf.DUMMYFUNCTION("""COMPUTED_VALUE"""),"Кабель RCA ""тато"" - RCA ""тато"" - 0,5 метра")</f>
        <v>Кабель RCA "тато" - RCA "тато" - 0,5 метра</v>
      </c>
      <c r="D85" s="13">
        <v>4.5590999999999999</v>
      </c>
      <c r="E85" s="19">
        <f>IF(IPA[[#This Row],[Ціна]]&gt;0,ROUND(IPA[[#This Row],[Ціна]]*(1-$E$2),2),"")</f>
        <v>4.5599999999999996</v>
      </c>
      <c r="F85" s="37"/>
    </row>
    <row r="86" spans="1:6">
      <c r="A86" s="8" t="s">
        <v>76</v>
      </c>
      <c r="B86" s="21" t="s">
        <v>78</v>
      </c>
      <c r="C86" s="7" t="str">
        <f ca="1">IFERROR(__xludf.DUMMYFUNCTION("""COMPUTED_VALUE"""),"Кабель RCA ""тато"" - XLR ""мама"" - 0,5 метра")</f>
        <v>Кабель RCA "тато" - XLR "мама" - 0,5 метра</v>
      </c>
      <c r="D86" s="13">
        <v>4.5590999999999999</v>
      </c>
      <c r="E86" s="19">
        <f>IF(IPA[[#This Row],[Ціна]]&gt;0,ROUND(IPA[[#This Row],[Ціна]]*(1-$E$2),2),"")</f>
        <v>4.5599999999999996</v>
      </c>
      <c r="F86" s="37"/>
    </row>
    <row r="87" spans="1:6">
      <c r="A87" s="8" t="s">
        <v>76</v>
      </c>
      <c r="B87" s="21" t="s">
        <v>79</v>
      </c>
      <c r="C87" s="7" t="str">
        <f ca="1">IFERROR(__xludf.DUMMYFUNCTION("""COMPUTED_VALUE"""),"Кабель RCA ""тато"" - jack 6.3 ""тато"" - 0,5 метра")</f>
        <v>Кабель RCA "тато" - jack 6.3 "тато" - 0,5 метра</v>
      </c>
      <c r="D87" s="13">
        <v>3.2213999999999996</v>
      </c>
      <c r="E87" s="19">
        <f>IF(IPA[[#This Row],[Ціна]]&gt;0,ROUND(IPA[[#This Row],[Ціна]]*(1-$E$2),2),"")</f>
        <v>3.22</v>
      </c>
      <c r="F87" s="37"/>
    </row>
    <row r="88" spans="1:6">
      <c r="A88" s="8"/>
      <c r="B88" s="42" t="s">
        <v>109</v>
      </c>
      <c r="C88" s="43" t="s">
        <v>110</v>
      </c>
      <c r="D88" s="44">
        <v>27.61</v>
      </c>
      <c r="E88" s="45">
        <f>IF(IPA[[#This Row],[Ціна]]&gt;0,ROUND(IPA[[#This Row],[Ціна]]*(1-$E$2),2),"")</f>
        <v>27.61</v>
      </c>
      <c r="F88" s="33" t="s">
        <v>111</v>
      </c>
    </row>
    <row r="89" spans="1:6">
      <c r="A89" s="8" t="s">
        <v>76</v>
      </c>
      <c r="B89" s="21" t="s">
        <v>80</v>
      </c>
      <c r="C89" s="7" t="str">
        <f ca="1">IFERROR(__xludf.DUMMYFUNCTION("""COMPUTED_VALUE"""),"Кабель jack 6.3 ""тато"" - XLR ""мама"" - 0,5 метра")</f>
        <v>Кабель jack 6.3 "тато" - XLR "мама" - 0,5 метра</v>
      </c>
      <c r="D89" s="13">
        <v>5.1323999999999996</v>
      </c>
      <c r="E89" s="19">
        <f>IF(IPA[[#This Row],[Ціна]]&gt;0,ROUND(IPA[[#This Row],[Ціна]]*(1-$E$2),2),"")</f>
        <v>5.13</v>
      </c>
      <c r="F89" s="37"/>
    </row>
    <row r="90" spans="1:6">
      <c r="A90" s="8" t="s">
        <v>76</v>
      </c>
      <c r="B90" s="22" t="s">
        <v>81</v>
      </c>
      <c r="C90" s="7" t="str">
        <f ca="1">IFERROR(__xludf.DUMMYFUNCTION("""COMPUTED_VALUE"""),"Кабель jack 6.3 ""тато"" - jack 6.3 ""тато"" - 0,5 метра")</f>
        <v>Кабель jack 6.3 "тато" - jack 6.3 "тато" - 0,5 метра</v>
      </c>
      <c r="D90" s="16">
        <v>3.2213999999999996</v>
      </c>
      <c r="E90" s="19">
        <f>IF(IPA[[#This Row],[Ціна]]&gt;0,ROUND(IPA[[#This Row],[Ціна]]*(1-$E$2),2),"")</f>
        <v>3.22</v>
      </c>
      <c r="F90" s="37"/>
    </row>
  </sheetData>
  <pageMargins left="0.7" right="0.7" top="0.75" bottom="0.75" header="0.3" footer="0.3"/>
  <pageSetup paperSize="9" scale="57"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IPA</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Игнатенко</dc:creator>
  <cp:lastModifiedBy>Пользователь Windows</cp:lastModifiedBy>
  <dcterms:created xsi:type="dcterms:W3CDTF">2019-09-09T11:27:39Z</dcterms:created>
  <dcterms:modified xsi:type="dcterms:W3CDTF">2025-03-19T16:16:30Z</dcterms:modified>
</cp:coreProperties>
</file>